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776"/>
  <workbookPr/>
  <bookViews>
    <workbookView xWindow="65521" yWindow="5010" windowWidth="21630" windowHeight="4830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<sst xmlns="http://schemas.openxmlformats.org/spreadsheetml/2006/main" count="91" uniqueCount="54">
  <si>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</si>
  <si>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</si>
  <si>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</si>
  <si>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</si>
  <si>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</si>
  <si>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</si>
  <si>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</si>
  <si>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</si>
  <si>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</si>
  <si>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</si>
  <si>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</si>
  <si>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</si>
  <si>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</si>
  <si>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</si>
  <si>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</si>
  <si>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</si>
  <si>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</si>
  <si>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</si>
  <si>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</si>
  <si>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</si>
  <si>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</si>
  <si>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</si>
  <si>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</si>
  <si>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</si>
  <si>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</si>
  <si>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</si>
  <si>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</si>
  <si>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</si>
  <si>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</si>
  <si>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</si>
  <si>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</si>
  <si>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</si>
  <si>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</si>
  <si>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</si>
  <si>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</si>
  <si>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</si>
  <si>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</si>
  <si>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</si>
  <si>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</si>
  <si>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</si>
  <si>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</si>
  <si>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</si>
  <si>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</si>
  <si>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</si>
  <si>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</si>
  <si>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</si>
  <si>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</si>
  <si>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</si>
  <si>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Line 12 is provided from PJM records</t>
  </si>
  <si>
    <t>(TCOS Ln 5)</t>
  </si>
  <si>
    <t>Total Load Dispatch &amp; Scheduling (Account 561) (TCOS Line 15)</t>
  </si>
  <si>
    <t>PRIOR YEAR TRUE-UP (2016 INCLUDING INTEREST)</t>
  </si>
  <si>
    <t>TRUE-UP ADJUSTMENT INCLUDING INTEREST (2016)</t>
  </si>
  <si>
    <t>(Worksheet 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</si>
</sst>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0" fontId="6" fillId="0" borderId="11" xfId="57" applyNumberFormat="1" applyFont="1" applyBorder="1" applyProtection="1">
      <alignment/>
      <protection locked="0"/>
    </xf>
    <xf numFmtId="1" fontId="6" fillId="0" borderId="11" xfId="57" applyNumberFormat="1" applyFont="1" applyBorder="1" applyAlignment="1" applyProtection="1">
      <alignment horizontal="center"/>
      <protection locked="0"/>
    </xf>
    <xf numFmtId="164" fontId="6" fillId="0" borderId="12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/>
    </xf>
    <xf numFmtId="164" fontId="6" fillId="0" borderId="15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12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3" xfId="57" applyNumberFormat="1" applyFont="1" applyFill="1" applyBorder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164" fontId="10" fillId="34" borderId="13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11" fillId="0" borderId="0" xfId="0" applyNumberFormat="1" applyFont="1" applyFill="1" applyAlignment="1">
      <alignment horizontal="center"/>
    </xf>
    <xf numFmtId="166" fontId="10" fillId="34" borderId="0" xfId="42" applyNumberFormat="1" applyFont="1" applyFill="1" applyAlignment="1">
      <alignment/>
    </xf>
    <xf numFmtId="164" fontId="56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>
      <alignment/>
    </xf>
    <xf numFmtId="0" fontId="12" fillId="0" borderId="0" xfId="57" applyNumberFormat="1" applyFont="1" applyFill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65" fontId="14" fillId="0" borderId="0" xfId="57" applyFont="1" applyAlignment="1">
      <alignment/>
    </xf>
    <xf numFmtId="0" fontId="16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Protection="1">
      <alignment/>
      <protection locked="0"/>
    </xf>
    <xf numFmtId="49" fontId="14" fillId="0" borderId="0" xfId="57" applyNumberFormat="1" applyFont="1" applyProtection="1">
      <alignment/>
      <protection locked="0"/>
    </xf>
    <xf numFmtId="49" fontId="14" fillId="0" borderId="0" xfId="57" applyNumberFormat="1" applyFont="1" applyAlignment="1" applyProtection="1">
      <alignment horizontal="center"/>
      <protection locked="0"/>
    </xf>
    <xf numFmtId="165" fontId="17" fillId="0" borderId="0" xfId="57" applyFont="1" applyAlignment="1">
      <alignment horizontal="center" vertical="center" wrapText="1"/>
    </xf>
    <xf numFmtId="0" fontId="14" fillId="0" borderId="0" xfId="57" applyNumberFormat="1" applyFont="1" applyAlignment="1" applyProtection="1">
      <alignment vertical="center"/>
      <protection locked="0"/>
    </xf>
    <xf numFmtId="0" fontId="17" fillId="0" borderId="0" xfId="57" applyNumberFormat="1" applyFont="1" applyAlignment="1" applyProtection="1">
      <alignment horizontal="center" vertical="center" wrapText="1"/>
      <protection locked="0"/>
    </xf>
    <xf numFmtId="0" fontId="17" fillId="0" borderId="0" xfId="57" applyNumberFormat="1" applyFont="1" applyAlignment="1" applyProtection="1">
      <alignment horizontal="center" vertical="center"/>
      <protection locked="0"/>
    </xf>
    <xf numFmtId="165" fontId="14" fillId="0" borderId="0" xfId="57" applyFont="1" applyAlignment="1">
      <alignment vertical="center"/>
    </xf>
    <xf numFmtId="165" fontId="17" fillId="0" borderId="0" xfId="57" applyFont="1" applyAlignment="1">
      <alignment horizontal="center"/>
    </xf>
    <xf numFmtId="0" fontId="17" fillId="0" borderId="0" xfId="57" applyNumberFormat="1" applyFont="1" applyAlignment="1" applyProtection="1">
      <alignment horizontal="center"/>
      <protection locked="0"/>
    </xf>
    <xf numFmtId="0" fontId="16" fillId="0" borderId="9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center"/>
      <protection locked="0"/>
    </xf>
    <xf numFmtId="0" fontId="16" fillId="0" borderId="0" xfId="57" applyNumberFormat="1" applyFont="1" applyBorder="1" applyAlignment="1" applyProtection="1">
      <alignment horizontal="center"/>
      <protection locked="0"/>
    </xf>
    <xf numFmtId="0" fontId="18" fillId="0" borderId="0" xfId="5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Alignment="1">
      <alignment/>
    </xf>
    <xf numFmtId="164" fontId="14" fillId="0" borderId="0" xfId="42" applyNumberFormat="1" applyFont="1" applyAlignment="1">
      <alignment/>
    </xf>
    <xf numFmtId="164" fontId="14" fillId="0" borderId="0" xfId="57" applyNumberFormat="1" applyFont="1" applyProtection="1">
      <alignment/>
      <protection locked="0"/>
    </xf>
    <xf numFmtId="164" fontId="57" fillId="34" borderId="0" xfId="57" applyNumberFormat="1" applyFont="1" applyFill="1" applyAlignment="1">
      <alignment/>
    </xf>
    <xf numFmtId="164" fontId="57" fillId="0" borderId="0" xfId="57" applyNumberFormat="1" applyFont="1" applyProtection="1">
      <alignment/>
      <protection locked="0"/>
    </xf>
    <xf numFmtId="164" fontId="57" fillId="0" borderId="0" xfId="57" applyNumberFormat="1" applyFont="1" applyAlignment="1">
      <alignment/>
    </xf>
    <xf numFmtId="164" fontId="57" fillId="0" borderId="0" xfId="57" applyNumberFormat="1" applyFont="1" applyFill="1" applyAlignment="1">
      <alignment/>
    </xf>
    <xf numFmtId="164" fontId="14" fillId="0" borderId="13" xfId="57" applyNumberFormat="1" applyFont="1" applyBorder="1" applyAlignment="1">
      <alignment/>
    </xf>
    <xf numFmtId="164" fontId="14" fillId="0" borderId="13" xfId="57" applyNumberFormat="1" applyFont="1" applyFill="1" applyBorder="1" applyAlignment="1">
      <alignment/>
    </xf>
    <xf numFmtId="164" fontId="14" fillId="0" borderId="0" xfId="57" applyNumberFormat="1" applyFont="1" applyAlignment="1">
      <alignment/>
    </xf>
    <xf numFmtId="1" fontId="14" fillId="0" borderId="0" xfId="57" applyNumberFormat="1" applyFont="1" applyAlignment="1" applyProtection="1">
      <alignment horizontal="center"/>
      <protection locked="0"/>
    </xf>
    <xf numFmtId="165" fontId="14" fillId="0" borderId="0" xfId="57" applyFont="1" applyAlignment="1" applyProtection="1">
      <alignment/>
      <protection locked="0"/>
    </xf>
    <xf numFmtId="164" fontId="14" fillId="0" borderId="0" xfId="57" applyNumberFormat="1" applyFont="1" applyAlignment="1" applyProtection="1">
      <alignment/>
      <protection locked="0"/>
    </xf>
    <xf numFmtId="164" fontId="14" fillId="0" borderId="0" xfId="57" applyNumberFormat="1" applyFont="1" applyFill="1" applyAlignment="1" applyProtection="1">
      <alignment/>
      <protection locked="0"/>
    </xf>
    <xf numFmtId="164" fontId="14" fillId="0" borderId="0" xfId="57" applyNumberFormat="1" applyFont="1" applyFill="1" applyAlignment="1">
      <alignment/>
    </xf>
    <xf numFmtId="164" fontId="57" fillId="34" borderId="0" xfId="42" applyNumberFormat="1" applyFont="1" applyFill="1" applyAlignment="1" applyProtection="1">
      <alignment/>
      <protection locked="0"/>
    </xf>
    <xf numFmtId="164" fontId="57" fillId="0" borderId="0" xfId="42" applyNumberFormat="1" applyFont="1" applyAlignment="1" applyProtection="1">
      <alignment/>
      <protection locked="0"/>
    </xf>
    <xf numFmtId="0" fontId="16" fillId="0" borderId="0" xfId="57" applyNumberFormat="1" applyFont="1" applyFill="1" applyAlignment="1" applyProtection="1">
      <alignment horizontal="center"/>
      <protection locked="0"/>
    </xf>
    <xf numFmtId="0" fontId="14" fillId="0" borderId="0" xfId="57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>
      <alignment/>
    </xf>
    <xf numFmtId="0" fontId="14" fillId="0" borderId="0" xfId="57" applyNumberFormat="1" applyFont="1" applyFill="1" applyProtection="1">
      <alignment/>
      <protection locked="0"/>
    </xf>
    <xf numFmtId="1" fontId="14" fillId="0" borderId="0" xfId="57" applyNumberFormat="1" applyFont="1" applyFill="1" applyAlignment="1" applyProtection="1">
      <alignment horizontal="center"/>
      <protection locked="0"/>
    </xf>
    <xf numFmtId="165" fontId="14" fillId="0" borderId="0" xfId="57" applyFont="1" applyFill="1" applyAlignment="1" applyProtection="1">
      <alignment/>
      <protection locked="0"/>
    </xf>
    <xf numFmtId="164" fontId="14" fillId="0" borderId="13" xfId="42" applyNumberFormat="1" applyFont="1" applyFill="1" applyBorder="1" applyAlignment="1" applyProtection="1">
      <alignment/>
      <protection locked="0"/>
    </xf>
    <xf numFmtId="164" fontId="14" fillId="0" borderId="0" xfId="42" applyNumberFormat="1" applyFont="1" applyAlignment="1" applyProtection="1">
      <alignment/>
      <protection locked="0"/>
    </xf>
    <xf numFmtId="164" fontId="14" fillId="0" borderId="13" xfId="42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right"/>
    </xf>
    <xf numFmtId="164" fontId="14" fillId="0" borderId="0" xfId="42" applyNumberFormat="1" applyFont="1" applyFill="1" applyAlignment="1" applyProtection="1">
      <alignment/>
      <protection locked="0"/>
    </xf>
    <xf numFmtId="164" fontId="14" fillId="0" borderId="13" xfId="42" applyNumberFormat="1" applyFont="1" applyBorder="1" applyAlignment="1">
      <alignment/>
    </xf>
    <xf numFmtId="164" fontId="14" fillId="34" borderId="0" xfId="42" applyNumberFormat="1" applyFont="1" applyFill="1" applyBorder="1" applyAlignment="1" applyProtection="1">
      <alignment/>
      <protection locked="0"/>
    </xf>
    <xf numFmtId="164" fontId="14" fillId="34" borderId="0" xfId="42" applyNumberFormat="1" applyFont="1" applyFill="1" applyAlignment="1" applyProtection="1">
      <alignment/>
      <protection locked="0"/>
    </xf>
    <xf numFmtId="165" fontId="16" fillId="0" borderId="0" xfId="57" applyFont="1" applyAlignment="1">
      <alignment/>
    </xf>
    <xf numFmtId="164" fontId="14" fillId="0" borderId="0" xfId="42" applyNumberFormat="1" applyFont="1" applyFill="1" applyAlignment="1">
      <alignment/>
    </xf>
    <xf numFmtId="164" fontId="14" fillId="0" borderId="0" xfId="42" applyNumberFormat="1" applyFont="1" applyBorder="1" applyAlignment="1" applyProtection="1">
      <alignment/>
      <protection locked="0"/>
    </xf>
    <xf numFmtId="0" fontId="17" fillId="0" borderId="14" xfId="0" applyNumberFormat="1" applyFont="1" applyBorder="1" applyAlignment="1">
      <alignment/>
    </xf>
    <xf numFmtId="0" fontId="14" fillId="0" borderId="11" xfId="57" applyNumberFormat="1" applyFont="1" applyBorder="1" applyProtection="1">
      <alignment/>
      <protection locked="0"/>
    </xf>
    <xf numFmtId="165" fontId="14" fillId="0" borderId="11" xfId="57" applyFont="1" applyBorder="1" applyAlignment="1">
      <alignment/>
    </xf>
    <xf numFmtId="1" fontId="14" fillId="0" borderId="11" xfId="57" applyNumberFormat="1" applyFont="1" applyBorder="1" applyAlignment="1" applyProtection="1">
      <alignment horizontal="center"/>
      <protection locked="0"/>
    </xf>
    <xf numFmtId="165" fontId="14" fillId="0" borderId="11" xfId="57" applyFont="1" applyBorder="1" applyAlignment="1" applyProtection="1">
      <alignment/>
      <protection locked="0"/>
    </xf>
    <xf numFmtId="164" fontId="17" fillId="0" borderId="15" xfId="57" applyNumberFormat="1" applyFont="1" applyBorder="1" applyAlignment="1" applyProtection="1">
      <alignment/>
      <protection locked="0"/>
    </xf>
    <xf numFmtId="164" fontId="14" fillId="0" borderId="0" xfId="57" applyNumberFormat="1" applyFont="1" applyBorder="1" applyAlignment="1" applyProtection="1">
      <alignment/>
      <protection locked="0"/>
    </xf>
    <xf numFmtId="10" fontId="14" fillId="0" borderId="0" xfId="60" applyNumberFormat="1" applyFont="1" applyBorder="1" applyAlignment="1" applyProtection="1">
      <alignment/>
      <protection locked="0"/>
    </xf>
    <xf numFmtId="165" fontId="14" fillId="0" borderId="0" xfId="57" applyFont="1" applyAlignment="1" applyProtection="1">
      <alignment horizontal="center"/>
      <protection locked="0"/>
    </xf>
    <xf numFmtId="168" fontId="19" fillId="34" borderId="0" xfId="42" applyNumberFormat="1" applyFont="1" applyFill="1" applyAlignment="1" applyProtection="1">
      <alignment/>
      <protection locked="0"/>
    </xf>
    <xf numFmtId="165" fontId="14" fillId="0" borderId="0" xfId="57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57" applyNumberFormat="1" applyFont="1" applyFill="1">
      <alignment/>
    </xf>
    <xf numFmtId="0" fontId="14" fillId="0" borderId="0" xfId="0" applyFont="1" applyAlignment="1">
      <alignment horizontal="left"/>
    </xf>
    <xf numFmtId="165" fontId="14" fillId="0" borderId="0" xfId="57" applyNumberFormat="1" applyFont="1" applyAlignment="1">
      <alignment/>
    </xf>
    <xf numFmtId="43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165" fontId="14" fillId="0" borderId="0" xfId="57" applyFont="1" applyAlignment="1">
      <alignment horizontal="center"/>
    </xf>
    <xf numFmtId="0" fontId="16" fillId="0" borderId="0" xfId="0" applyFont="1" applyAlignment="1">
      <alignment horizontal="center"/>
    </xf>
    <xf numFmtId="166" fontId="14" fillId="0" borderId="0" xfId="57" applyNumberFormat="1" applyFont="1" applyFill="1">
      <alignment/>
    </xf>
    <xf numFmtId="166" fontId="14" fillId="0" borderId="0" xfId="0" applyNumberFormat="1" applyFont="1" applyAlignment="1">
      <alignment/>
    </xf>
    <xf numFmtId="166" fontId="14" fillId="0" borderId="0" xfId="42" applyNumberFormat="1" applyFont="1" applyAlignment="1">
      <alignment/>
    </xf>
    <xf numFmtId="166" fontId="14" fillId="0" borderId="0" xfId="42" applyNumberFormat="1" applyFont="1" applyAlignment="1" applyProtection="1">
      <alignment/>
      <protection locked="0"/>
    </xf>
    <xf numFmtId="165" fontId="20" fillId="0" borderId="14" xfId="57" applyFont="1" applyBorder="1" applyAlignment="1">
      <alignment/>
    </xf>
    <xf numFmtId="0" fontId="14" fillId="0" borderId="11" xfId="0" applyFont="1" applyBorder="1" applyAlignment="1">
      <alignment/>
    </xf>
    <xf numFmtId="167" fontId="17" fillId="0" borderId="15" xfId="44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165" fontId="16" fillId="0" borderId="0" xfId="57" applyFont="1" applyAlignment="1" applyProtection="1">
      <alignment/>
      <protection locked="0"/>
    </xf>
    <xf numFmtId="0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5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%20Trans%20Company%20Projected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V%20Trans%20Company%20Projected%20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8%20Forecasted%20(PTRR)\2018%20PTRR%20Templates\Templates\2018%20Templates\ATRR%20FR%20Summary%202018%20AEP%20East%20Operating%20CompaniesR%20LINK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%20Trans%20Company%20Projected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V%20Trans%20Company%20Projected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H%20Trans%20Company%20Projected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Y%20Trans%20Company%20Projected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p%20Trans%20Company%20Projected%20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M%20Trans%20Company%20Projected%20201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Y%20Trans%20Company%20Projected%20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OH%20Trans%20Company%20Projected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  <sheetName val="Ap Trans Company Projected 2017"/>
    </sheetNames>
    <sheetDataSet>
      <sheetData sheetId="1">
        <row r="40">
          <cell r="L40">
            <v>0</v>
          </cell>
        </row>
        <row r="41">
          <cell r="L4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  <sheetName val="WS R Interest Schedule 12"/>
    </sheetNames>
    <sheetDataSet>
      <sheetData sheetId="1">
        <row r="11">
          <cell r="L11">
            <v>108090606.74064088</v>
          </cell>
        </row>
        <row r="13">
          <cell r="L13">
            <v>422010.24996</v>
          </cell>
        </row>
        <row r="22">
          <cell r="L22">
            <v>47314851.56564242</v>
          </cell>
        </row>
        <row r="39">
          <cell r="L39">
            <v>588000</v>
          </cell>
        </row>
      </sheetData>
      <sheetData sheetId="20">
        <row r="53">
          <cell r="J53">
            <v>-3887501.1109086717</v>
          </cell>
        </row>
      </sheetData>
      <sheetData sheetId="21">
        <row r="53">
          <cell r="J53">
            <v>12163208.878762983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40">
          <cell r="I40">
            <v>21660</v>
          </cell>
        </row>
      </sheetData>
      <sheetData sheetId="1">
        <row r="33">
          <cell r="G33">
            <v>135611000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  <sheetDataSet>
      <sheetData sheetId="1">
        <row r="40">
          <cell r="L40">
            <v>0</v>
          </cell>
        </row>
        <row r="41">
          <cell r="L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  <sheetDataSet>
      <sheetData sheetId="1">
        <row r="40">
          <cell r="L40">
            <v>0</v>
          </cell>
        </row>
        <row r="41">
          <cell r="L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  <sheetDataSet>
      <sheetData sheetId="1">
        <row r="40">
          <cell r="L40">
            <v>0</v>
          </cell>
        </row>
        <row r="41">
          <cell r="L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  <sheetDataSet>
      <sheetData sheetId="1">
        <row r="40">
          <cell r="L40">
            <v>0</v>
          </cell>
        </row>
        <row r="41">
          <cell r="L4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  <sheetDataSet>
      <sheetData sheetId="1">
        <row r="11">
          <cell r="L11">
            <v>928400.0841268807</v>
          </cell>
        </row>
        <row r="13">
          <cell r="L13">
            <v>0</v>
          </cell>
        </row>
        <row r="22">
          <cell r="L22">
            <v>0</v>
          </cell>
        </row>
        <row r="39">
          <cell r="L39">
            <v>1000</v>
          </cell>
        </row>
      </sheetData>
      <sheetData sheetId="20">
        <row r="53">
          <cell r="J53">
            <v>-41182.85139669254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  <sheetName val="WS R Interest Schedule 12"/>
    </sheetNames>
    <sheetDataSet>
      <sheetData sheetId="1">
        <row r="11">
          <cell r="L11">
            <v>207202142.81969374</v>
          </cell>
        </row>
        <row r="13">
          <cell r="L13">
            <v>0</v>
          </cell>
        </row>
        <row r="22">
          <cell r="L22">
            <v>50140304.36567199</v>
          </cell>
        </row>
        <row r="39">
          <cell r="L39">
            <v>1008000</v>
          </cell>
        </row>
      </sheetData>
      <sheetData sheetId="20">
        <row r="53">
          <cell r="J53">
            <v>-7277112.8016137155</v>
          </cell>
        </row>
      </sheetData>
      <sheetData sheetId="21">
        <row r="53">
          <cell r="J53">
            <v>16406253.035529977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  <sheetName val="WS R Interest Schedule 12"/>
    </sheetNames>
    <sheetDataSet>
      <sheetData sheetId="1">
        <row r="11">
          <cell r="L11">
            <v>13744660.099333772</v>
          </cell>
        </row>
        <row r="13">
          <cell r="L13">
            <v>0</v>
          </cell>
        </row>
        <row r="22">
          <cell r="L22">
            <v>4752952.055547775</v>
          </cell>
        </row>
        <row r="39">
          <cell r="L39">
            <v>62000</v>
          </cell>
        </row>
      </sheetData>
      <sheetData sheetId="20">
        <row r="53">
          <cell r="J53">
            <v>-1954114.5217464734</v>
          </cell>
        </row>
      </sheetData>
      <sheetData sheetId="21">
        <row r="53">
          <cell r="J53">
            <v>2829045.3785810783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  <sheetName val="WS R Interest Schedule 12"/>
    </sheetNames>
    <sheetDataSet>
      <sheetData sheetId="1">
        <row r="11">
          <cell r="L11">
            <v>421925438.23665965</v>
          </cell>
        </row>
        <row r="13">
          <cell r="L13">
            <v>7336873.91999999</v>
          </cell>
        </row>
        <row r="22">
          <cell r="L22">
            <v>47757371.05300925</v>
          </cell>
        </row>
        <row r="39">
          <cell r="L39">
            <v>1872773.71574747</v>
          </cell>
        </row>
      </sheetData>
      <sheetData sheetId="20">
        <row r="53">
          <cell r="J53">
            <v>44487754.49124759</v>
          </cell>
        </row>
      </sheetData>
      <sheetData sheetId="21">
        <row r="53">
          <cell r="J53">
            <v>7050000.532747253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5"/>
  <sheetViews>
    <sheetView tabSelected="1" zoomScale="50" zoomScaleNormal="50" zoomScalePageLayoutView="0" workbookViewId="0" topLeftCell="A1">
      <selection activeCell="K15" sqref="K15"/>
    </sheetView>
  </sheetViews>
  <sheetFormatPr defaultColWidth="11.421875" defaultRowHeight="12.75"/>
  <cols>
    <col min="1" max="1" width="4.140625" style="1" customWidth="1"/>
    <col min="2" max="2" width="5.8515625" style="20" bestFit="1" customWidth="1"/>
    <col min="3" max="3" width="2.00390625" style="1" customWidth="1"/>
    <col min="4" max="4" width="58.28125" style="1" customWidth="1"/>
    <col min="5" max="5" width="24.28125" style="1" customWidth="1"/>
    <col min="6" max="6" width="8.7109375" style="1" customWidth="1"/>
    <col min="7" max="7" width="24.2812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28125" style="1" customWidth="1"/>
    <col min="12" max="12" width="4.5742187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125" style="1" customWidth="1"/>
    <col min="17" max="17" width="29.57421875" style="1" customWidth="1"/>
    <col min="18" max="18" width="2.7109375" style="1" customWidth="1"/>
    <col min="19" max="19" width="32.28125" style="1" customWidth="1"/>
    <col min="20" max="20" width="18.00390625" style="1" bestFit="1" customWidth="1"/>
    <col min="21" max="16384" width="11.421875" style="1" customWidth="1"/>
  </cols>
  <sheetData>
    <row r="1" spans="1:24" ht="20.25">
      <c r="A1" s="141"/>
      <c r="B1" s="141"/>
      <c r="C1" s="141"/>
      <c r="D1" s="141"/>
      <c r="E1" s="141"/>
      <c r="F1" s="141"/>
      <c r="G1" s="141"/>
      <c r="H1" s="141"/>
      <c r="I1" s="78"/>
      <c r="J1" s="141"/>
      <c r="K1" s="141"/>
      <c r="L1" s="141"/>
      <c r="M1" s="78"/>
      <c r="N1" s="78"/>
      <c r="O1" s="78"/>
      <c r="P1" s="78"/>
      <c r="Q1" s="78"/>
      <c r="R1" s="78"/>
      <c r="S1" s="78"/>
      <c r="V1" s="67"/>
      <c r="X1" s="44">
        <v>2018</v>
      </c>
    </row>
    <row r="2" spans="1:19" ht="20.25">
      <c r="A2" s="78"/>
      <c r="B2" s="158"/>
      <c r="C2" s="106"/>
      <c r="D2" s="106"/>
      <c r="E2" s="106"/>
      <c r="F2" s="106"/>
      <c r="G2" s="106"/>
      <c r="H2" s="106"/>
      <c r="I2" s="78"/>
      <c r="J2" s="106"/>
      <c r="K2" s="106"/>
      <c r="L2" s="106"/>
      <c r="M2" s="78"/>
      <c r="N2" s="78"/>
      <c r="O2" s="78"/>
      <c r="P2" s="78"/>
      <c r="Q2" s="78"/>
      <c r="R2" s="78"/>
      <c r="S2" s="78"/>
    </row>
    <row r="3" spans="1:19" ht="20.25">
      <c r="A3" s="161" t="s">
        <v>46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20.25">
      <c r="A4" s="162" t="str">
        <f>"Forecasted Costs through December 31, "&amp;X1&amp;""</f>
        <v>Forecasted Costs through December 31, 2018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21" ht="20.25">
      <c r="A5" s="163" t="str">
        <f>"For rates effective January 1, 2018"</f>
        <v>For rates effective January 1, 2018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71"/>
      <c r="U5" s="71"/>
    </row>
    <row r="6" spans="1:19" ht="2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20" ht="2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/>
    </row>
    <row r="8" spans="1:20" ht="20.25">
      <c r="A8" s="164" t="s">
        <v>44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78"/>
      <c r="T8" s="78"/>
    </row>
    <row r="9" spans="1:20" ht="20.25">
      <c r="A9" s="78"/>
      <c r="B9" s="79"/>
      <c r="C9" s="80"/>
      <c r="D9" s="81"/>
      <c r="E9" s="81"/>
      <c r="F9" s="78"/>
      <c r="G9" s="82"/>
      <c r="H9" s="81"/>
      <c r="I9" s="78"/>
      <c r="J9" s="81"/>
      <c r="K9" s="81"/>
      <c r="L9" s="81"/>
      <c r="M9" s="78"/>
      <c r="N9" s="78"/>
      <c r="O9" s="78"/>
      <c r="P9" s="78"/>
      <c r="Q9" s="78"/>
      <c r="R9" s="78"/>
      <c r="S9" s="78"/>
      <c r="T9" s="78"/>
    </row>
    <row r="10" spans="1:20" ht="60.75">
      <c r="A10" s="78"/>
      <c r="B10" s="79"/>
      <c r="C10" s="80"/>
      <c r="D10" s="81"/>
      <c r="E10" s="81"/>
      <c r="F10" s="83"/>
      <c r="G10" s="82"/>
      <c r="H10" s="81"/>
      <c r="I10" s="84" t="s">
        <v>47</v>
      </c>
      <c r="J10" s="85"/>
      <c r="K10" s="86" t="s">
        <v>33</v>
      </c>
      <c r="L10" s="87"/>
      <c r="M10" s="84" t="s">
        <v>36</v>
      </c>
      <c r="N10" s="88"/>
      <c r="O10" s="84" t="s">
        <v>35</v>
      </c>
      <c r="P10" s="88"/>
      <c r="Q10" s="84" t="s">
        <v>31</v>
      </c>
      <c r="R10" s="88"/>
      <c r="S10" s="84" t="s">
        <v>34</v>
      </c>
      <c r="T10" s="78"/>
    </row>
    <row r="11" spans="1:20" ht="20.25">
      <c r="A11" s="78"/>
      <c r="B11" s="79" t="s">
        <v>0</v>
      </c>
      <c r="C11" s="80"/>
      <c r="D11" s="81"/>
      <c r="E11" s="81"/>
      <c r="F11" s="81"/>
      <c r="G11" s="82"/>
      <c r="H11" s="81"/>
      <c r="I11" s="89" t="s">
        <v>32</v>
      </c>
      <c r="J11" s="81"/>
      <c r="K11" s="90" t="s">
        <v>32</v>
      </c>
      <c r="L11" s="90"/>
      <c r="M11" s="90" t="s">
        <v>32</v>
      </c>
      <c r="N11" s="78"/>
      <c r="O11" s="90" t="s">
        <v>32</v>
      </c>
      <c r="P11" s="78"/>
      <c r="Q11" s="90" t="s">
        <v>32</v>
      </c>
      <c r="R11" s="78"/>
      <c r="S11" s="90" t="s">
        <v>32</v>
      </c>
      <c r="T11" s="78"/>
    </row>
    <row r="12" spans="1:20" ht="21" thickBot="1">
      <c r="A12" s="78"/>
      <c r="B12" s="91" t="s">
        <v>1</v>
      </c>
      <c r="C12" s="92"/>
      <c r="D12" s="81"/>
      <c r="E12" s="92"/>
      <c r="F12" s="81"/>
      <c r="G12" s="81"/>
      <c r="H12" s="81"/>
      <c r="I12" s="89" t="s">
        <v>2</v>
      </c>
      <c r="J12" s="81"/>
      <c r="K12" s="89" t="s">
        <v>2</v>
      </c>
      <c r="L12" s="90"/>
      <c r="M12" s="89" t="s">
        <v>2</v>
      </c>
      <c r="N12" s="78"/>
      <c r="O12" s="89" t="s">
        <v>2</v>
      </c>
      <c r="P12" s="78"/>
      <c r="Q12" s="89" t="s">
        <v>2</v>
      </c>
      <c r="R12" s="78"/>
      <c r="S12" s="89" t="s">
        <v>2</v>
      </c>
      <c r="T12" s="78"/>
    </row>
    <row r="13" spans="1:20" ht="20.25">
      <c r="A13" s="78"/>
      <c r="B13" s="93"/>
      <c r="C13" s="92"/>
      <c r="D13" s="81"/>
      <c r="E13" s="92"/>
      <c r="F13" s="81"/>
      <c r="G13" s="81"/>
      <c r="H13" s="81"/>
      <c r="I13" s="78"/>
      <c r="J13" s="81"/>
      <c r="K13" s="78"/>
      <c r="L13" s="81"/>
      <c r="M13" s="78"/>
      <c r="N13" s="78"/>
      <c r="O13" s="78"/>
      <c r="P13" s="78"/>
      <c r="Q13" s="78"/>
      <c r="R13" s="78"/>
      <c r="S13" s="78"/>
      <c r="T13" s="78"/>
    </row>
    <row r="14" spans="1:20" ht="20.25">
      <c r="A14" s="89" t="s">
        <v>3</v>
      </c>
      <c r="B14" s="94" t="s">
        <v>4</v>
      </c>
      <c r="C14" s="92"/>
      <c r="D14" s="81"/>
      <c r="E14" s="92"/>
      <c r="F14" s="81"/>
      <c r="G14" s="81"/>
      <c r="H14" s="81"/>
      <c r="I14" s="78"/>
      <c r="J14" s="81"/>
      <c r="K14" s="78"/>
      <c r="L14" s="81"/>
      <c r="M14" s="78"/>
      <c r="N14" s="78"/>
      <c r="O14" s="78"/>
      <c r="P14" s="78"/>
      <c r="Q14" s="78"/>
      <c r="R14" s="78"/>
      <c r="S14" s="78"/>
      <c r="T14" s="78"/>
    </row>
    <row r="15" spans="1:20" ht="20.25">
      <c r="A15" s="89"/>
      <c r="B15" s="93">
        <v>1</v>
      </c>
      <c r="C15" s="92"/>
      <c r="D15" s="95" t="s">
        <v>5</v>
      </c>
      <c r="E15" s="92"/>
      <c r="F15" s="81"/>
      <c r="G15" s="80" t="s">
        <v>28</v>
      </c>
      <c r="H15" s="81"/>
      <c r="I15" s="96">
        <f>SUM(Q15,K15,S15,O15,M15,)</f>
        <v>751891247.9804549</v>
      </c>
      <c r="J15" s="97"/>
      <c r="K15" s="98">
        <f>'[6]TCOS'!$L$11</f>
        <v>928400.0841268807</v>
      </c>
      <c r="L15" s="99"/>
      <c r="M15" s="98">
        <f>'[7]TCOS'!$L$11</f>
        <v>207202142.81969374</v>
      </c>
      <c r="N15" s="100"/>
      <c r="O15" s="98">
        <f>'[8]TCOS'!$L$11</f>
        <v>13744660.099333772</v>
      </c>
      <c r="P15" s="100"/>
      <c r="Q15" s="98">
        <f>'[9]TCOS'!$L$11</f>
        <v>421925438.23665965</v>
      </c>
      <c r="R15" s="100"/>
      <c r="S15" s="98">
        <f>'[10]TCOS'!$L$11</f>
        <v>108090606.74064088</v>
      </c>
      <c r="T15" s="78"/>
    </row>
    <row r="16" spans="1:21" ht="20.25">
      <c r="A16" s="89"/>
      <c r="B16" s="93"/>
      <c r="C16" s="92"/>
      <c r="D16" s="95"/>
      <c r="E16" s="92"/>
      <c r="F16" s="81"/>
      <c r="G16" s="81"/>
      <c r="H16" s="81"/>
      <c r="I16" s="96"/>
      <c r="J16" s="97"/>
      <c r="K16" s="101"/>
      <c r="L16" s="99"/>
      <c r="M16" s="100"/>
      <c r="N16" s="100"/>
      <c r="O16" s="100"/>
      <c r="P16" s="100"/>
      <c r="Q16" s="100"/>
      <c r="R16" s="100"/>
      <c r="S16" s="101"/>
      <c r="T16" s="78"/>
      <c r="U16" s="60"/>
    </row>
    <row r="17" spans="1:20" ht="20.25">
      <c r="A17" s="89"/>
      <c r="B17" s="93">
        <f>+B15+1</f>
        <v>2</v>
      </c>
      <c r="C17" s="92"/>
      <c r="D17" s="81" t="s">
        <v>6</v>
      </c>
      <c r="E17" s="92"/>
      <c r="F17" s="81"/>
      <c r="G17" s="80" t="s">
        <v>29</v>
      </c>
      <c r="H17" s="81"/>
      <c r="I17" s="96">
        <f>SUM(Q17,K17,S17,O17,M17,)</f>
        <v>7758884.169959989</v>
      </c>
      <c r="J17" s="97"/>
      <c r="K17" s="98">
        <f>'[6]TCOS'!$L$13</f>
        <v>0</v>
      </c>
      <c r="L17" s="99"/>
      <c r="M17" s="98">
        <f>'[7]TCOS'!$L$13</f>
        <v>0</v>
      </c>
      <c r="N17" s="100"/>
      <c r="O17" s="98">
        <f>'[8]TCOS'!$L$13</f>
        <v>0</v>
      </c>
      <c r="P17" s="100"/>
      <c r="Q17" s="98">
        <f>'[9]TCOS'!$L$13</f>
        <v>7336873.91999999</v>
      </c>
      <c r="R17" s="100"/>
      <c r="S17" s="98">
        <f>'[10]TCOS'!$L$13</f>
        <v>422010.24996</v>
      </c>
      <c r="T17" s="78"/>
    </row>
    <row r="18" spans="1:20" ht="20.25">
      <c r="A18" s="89"/>
      <c r="B18" s="94"/>
      <c r="C18" s="92"/>
      <c r="D18" s="81"/>
      <c r="E18" s="92"/>
      <c r="F18" s="81"/>
      <c r="G18" s="81"/>
      <c r="H18" s="81"/>
      <c r="I18" s="102"/>
      <c r="J18" s="97"/>
      <c r="K18" s="103"/>
      <c r="L18" s="97"/>
      <c r="M18" s="102"/>
      <c r="N18" s="104"/>
      <c r="O18" s="102"/>
      <c r="P18" s="104"/>
      <c r="Q18" s="102"/>
      <c r="R18" s="104"/>
      <c r="S18" s="103"/>
      <c r="T18" s="78"/>
    </row>
    <row r="19" spans="1:20" ht="48.75" customHeight="1">
      <c r="A19" s="78"/>
      <c r="B19" s="79">
        <f>+B17+1</f>
        <v>3</v>
      </c>
      <c r="C19" s="80"/>
      <c r="D19" s="159" t="s">
        <v>37</v>
      </c>
      <c r="E19" s="160"/>
      <c r="F19" s="105"/>
      <c r="G19" s="80" t="s">
        <v>30</v>
      </c>
      <c r="H19" s="106"/>
      <c r="I19" s="104">
        <f>SUM(Q19,K19,S19,O19,M19,)</f>
        <v>744132363.8104949</v>
      </c>
      <c r="J19" s="107"/>
      <c r="K19" s="108">
        <f>+K15-K17</f>
        <v>928400.0841268807</v>
      </c>
      <c r="L19" s="107"/>
      <c r="M19" s="107">
        <f>+M15-M17</f>
        <v>207202142.81969374</v>
      </c>
      <c r="N19" s="104"/>
      <c r="O19" s="107">
        <f>+O15-O17</f>
        <v>13744660.099333772</v>
      </c>
      <c r="P19" s="104"/>
      <c r="Q19" s="107">
        <f>+Q15-Q17</f>
        <v>414588564.3166596</v>
      </c>
      <c r="R19" s="104"/>
      <c r="S19" s="108">
        <f>+S15-S17</f>
        <v>107668596.49068087</v>
      </c>
      <c r="T19" s="78"/>
    </row>
    <row r="20" spans="1:20" ht="20.25">
      <c r="A20" s="78"/>
      <c r="B20" s="79"/>
      <c r="C20" s="80"/>
      <c r="D20" s="95"/>
      <c r="E20" s="81"/>
      <c r="F20" s="105"/>
      <c r="G20" s="106"/>
      <c r="H20" s="106"/>
      <c r="I20" s="104"/>
      <c r="J20" s="107"/>
      <c r="K20" s="108"/>
      <c r="L20" s="107"/>
      <c r="M20" s="107"/>
      <c r="N20" s="104"/>
      <c r="O20" s="107"/>
      <c r="P20" s="104"/>
      <c r="Q20" s="107"/>
      <c r="R20" s="104"/>
      <c r="S20" s="108"/>
      <c r="T20" s="78"/>
    </row>
    <row r="21" spans="1:20" ht="20.25">
      <c r="A21" s="78"/>
      <c r="B21" s="79">
        <f>+B19+1</f>
        <v>4</v>
      </c>
      <c r="C21" s="80"/>
      <c r="D21" s="95" t="s">
        <v>7</v>
      </c>
      <c r="E21" s="81"/>
      <c r="F21" s="105"/>
      <c r="G21" s="106"/>
      <c r="H21" s="106"/>
      <c r="I21" s="104"/>
      <c r="J21" s="107"/>
      <c r="K21" s="109"/>
      <c r="L21" s="107"/>
      <c r="M21" s="104"/>
      <c r="N21" s="104"/>
      <c r="O21" s="104"/>
      <c r="P21" s="104"/>
      <c r="Q21" s="104"/>
      <c r="R21" s="104"/>
      <c r="S21" s="109"/>
      <c r="T21" s="78"/>
    </row>
    <row r="22" spans="1:20" ht="20.25">
      <c r="A22" s="78"/>
      <c r="B22" s="79">
        <f>+B21+1</f>
        <v>5</v>
      </c>
      <c r="C22" s="80"/>
      <c r="D22" s="95" t="s">
        <v>38</v>
      </c>
      <c r="E22" s="81"/>
      <c r="F22" s="105"/>
      <c r="G22" s="80" t="s">
        <v>49</v>
      </c>
      <c r="H22" s="106"/>
      <c r="I22" s="104">
        <f>SUM(Q22,K22,S22,O22,M22,)</f>
        <v>149965479.03987142</v>
      </c>
      <c r="J22" s="107"/>
      <c r="K22" s="110">
        <f>'[6]TCOS'!$L$22</f>
        <v>0</v>
      </c>
      <c r="L22" s="111"/>
      <c r="M22" s="110">
        <f>'[7]TCOS'!$L$22</f>
        <v>50140304.36567199</v>
      </c>
      <c r="N22" s="100"/>
      <c r="O22" s="98">
        <f>'[8]TCOS'!$L$22</f>
        <v>4752952.055547775</v>
      </c>
      <c r="P22" s="100"/>
      <c r="Q22" s="98">
        <f>'[9]TCOS'!$L$22</f>
        <v>47757371.05300925</v>
      </c>
      <c r="R22" s="100"/>
      <c r="S22" s="98">
        <f>'[10]TCOS'!$L$22</f>
        <v>47314851.56564242</v>
      </c>
      <c r="T22" s="78"/>
    </row>
    <row r="23" spans="1:20" ht="20.25">
      <c r="A23" s="78"/>
      <c r="B23" s="112">
        <f>+B22+1</f>
        <v>6</v>
      </c>
      <c r="C23" s="113"/>
      <c r="D23" s="114" t="s">
        <v>39</v>
      </c>
      <c r="E23" s="115"/>
      <c r="F23" s="116"/>
      <c r="G23" s="113" t="str">
        <f>"(Worksheet J)"</f>
        <v>(Worksheet J)</v>
      </c>
      <c r="H23" s="117"/>
      <c r="I23" s="102">
        <f>SUM(Q23,K23,S23,O23,M23,)</f>
        <v>0</v>
      </c>
      <c r="J23" s="107"/>
      <c r="K23" s="118">
        <v>0</v>
      </c>
      <c r="L23" s="119"/>
      <c r="M23" s="120">
        <v>0</v>
      </c>
      <c r="N23" s="104"/>
      <c r="O23" s="120">
        <v>0</v>
      </c>
      <c r="P23" s="104"/>
      <c r="Q23" s="120">
        <v>0</v>
      </c>
      <c r="R23" s="104"/>
      <c r="S23" s="118">
        <v>0</v>
      </c>
      <c r="T23" s="78"/>
    </row>
    <row r="24" spans="1:20" ht="20.25">
      <c r="A24" s="78"/>
      <c r="B24" s="79">
        <f>+B23+1</f>
        <v>7</v>
      </c>
      <c r="C24" s="80"/>
      <c r="D24" s="121" t="s">
        <v>8</v>
      </c>
      <c r="E24" s="81" t="s">
        <v>9</v>
      </c>
      <c r="F24" s="105"/>
      <c r="G24" s="106"/>
      <c r="H24" s="106"/>
      <c r="I24" s="119">
        <f>+I23+I22</f>
        <v>149965479.03987142</v>
      </c>
      <c r="J24" s="107"/>
      <c r="K24" s="122">
        <f>+K23+K22</f>
        <v>0</v>
      </c>
      <c r="L24" s="119"/>
      <c r="M24" s="119">
        <f>+M23+M22</f>
        <v>50140304.36567199</v>
      </c>
      <c r="N24" s="104"/>
      <c r="O24" s="119">
        <f>+O23+O22</f>
        <v>4752952.055547775</v>
      </c>
      <c r="P24" s="104"/>
      <c r="Q24" s="119">
        <f>+Q23+Q22</f>
        <v>47757371.05300925</v>
      </c>
      <c r="R24" s="104"/>
      <c r="S24" s="122">
        <f>+S23+S22</f>
        <v>47314851.56564242</v>
      </c>
      <c r="T24" s="78"/>
    </row>
    <row r="25" spans="1:20" ht="20.25">
      <c r="A25" s="78"/>
      <c r="B25" s="79"/>
      <c r="C25" s="80"/>
      <c r="D25" s="95"/>
      <c r="E25" s="81"/>
      <c r="F25" s="105"/>
      <c r="G25" s="106"/>
      <c r="H25" s="106"/>
      <c r="I25" s="123"/>
      <c r="J25" s="107"/>
      <c r="K25" s="118"/>
      <c r="L25" s="119"/>
      <c r="M25" s="120"/>
      <c r="N25" s="104"/>
      <c r="O25" s="120"/>
      <c r="P25" s="104"/>
      <c r="Q25" s="120"/>
      <c r="R25" s="104"/>
      <c r="S25" s="118"/>
      <c r="T25" s="78"/>
    </row>
    <row r="26" spans="1:20" ht="20.25">
      <c r="A26" s="78"/>
      <c r="B26" s="79">
        <f>+B24+1</f>
        <v>8</v>
      </c>
      <c r="C26" s="80"/>
      <c r="D26" s="95" t="s">
        <v>40</v>
      </c>
      <c r="E26" s="81"/>
      <c r="F26" s="78"/>
      <c r="G26" s="105" t="str">
        <f>"(Ln "&amp;B19&amp;"- Ln "&amp;B24&amp;")"</f>
        <v>(Ln 3- Ln 7)</v>
      </c>
      <c r="H26" s="106"/>
      <c r="I26" s="104">
        <f>SUM(Q26,K26,S26,O26,M26,)</f>
        <v>594166884.7706234</v>
      </c>
      <c r="J26" s="107"/>
      <c r="K26" s="122">
        <f>+K19-K24</f>
        <v>928400.0841268807</v>
      </c>
      <c r="L26" s="119"/>
      <c r="M26" s="119">
        <f>+M19-M24</f>
        <v>157061838.45402175</v>
      </c>
      <c r="N26" s="104"/>
      <c r="O26" s="119">
        <f>+O19-O24</f>
        <v>8991708.043785997</v>
      </c>
      <c r="P26" s="104"/>
      <c r="Q26" s="119">
        <f>+Q19-Q24</f>
        <v>366831193.26365036</v>
      </c>
      <c r="R26" s="104"/>
      <c r="S26" s="122">
        <f>+S19-S24</f>
        <v>60353744.92503846</v>
      </c>
      <c r="T26" s="78"/>
    </row>
    <row r="27" spans="1:20" ht="20.25">
      <c r="A27" s="78"/>
      <c r="B27" s="78"/>
      <c r="C27" s="80"/>
      <c r="D27" s="78"/>
      <c r="E27" s="81"/>
      <c r="F27" s="78"/>
      <c r="G27" s="106"/>
      <c r="H27" s="106"/>
      <c r="I27" s="104"/>
      <c r="J27" s="107"/>
      <c r="K27" s="109"/>
      <c r="L27" s="104"/>
      <c r="M27" s="104"/>
      <c r="N27" s="104"/>
      <c r="O27" s="104"/>
      <c r="P27" s="104"/>
      <c r="Q27" s="104"/>
      <c r="R27" s="104"/>
      <c r="S27" s="109"/>
      <c r="T27" s="78"/>
    </row>
    <row r="28" spans="1:20" ht="20.25">
      <c r="A28" s="78"/>
      <c r="B28" s="79">
        <f>+B26+1</f>
        <v>9</v>
      </c>
      <c r="C28" s="80"/>
      <c r="D28" s="95" t="s">
        <v>41</v>
      </c>
      <c r="E28" s="81"/>
      <c r="F28" s="105"/>
      <c r="G28" s="80" t="str">
        <f>"(Worksheet J)"</f>
        <v>(Worksheet J)</v>
      </c>
      <c r="H28" s="106"/>
      <c r="I28" s="96">
        <f>SUM(Q28,K28,S28,O28,M28,)</f>
        <v>0</v>
      </c>
      <c r="J28" s="107"/>
      <c r="K28" s="124">
        <v>0</v>
      </c>
      <c r="L28" s="119"/>
      <c r="M28" s="125">
        <v>0</v>
      </c>
      <c r="N28" s="104"/>
      <c r="O28" s="125">
        <v>0</v>
      </c>
      <c r="P28" s="104"/>
      <c r="Q28" s="125">
        <v>0</v>
      </c>
      <c r="R28" s="104"/>
      <c r="S28" s="125">
        <v>0</v>
      </c>
      <c r="T28" s="78"/>
    </row>
    <row r="29" spans="1:20" ht="20.25">
      <c r="A29" s="78"/>
      <c r="B29" s="79"/>
      <c r="C29" s="80"/>
      <c r="D29" s="95"/>
      <c r="E29" s="81"/>
      <c r="F29" s="105"/>
      <c r="G29" s="106"/>
      <c r="H29" s="106"/>
      <c r="I29" s="123"/>
      <c r="J29" s="107"/>
      <c r="K29" s="118"/>
      <c r="L29" s="119"/>
      <c r="M29" s="120"/>
      <c r="N29" s="104"/>
      <c r="O29" s="120"/>
      <c r="P29" s="104"/>
      <c r="Q29" s="120"/>
      <c r="R29" s="104"/>
      <c r="S29" s="118"/>
      <c r="T29" s="78"/>
    </row>
    <row r="30" spans="1:20" ht="21" customHeight="1">
      <c r="A30" s="78"/>
      <c r="B30" s="79">
        <f>+B28+1</f>
        <v>10</v>
      </c>
      <c r="C30" s="80"/>
      <c r="D30" s="95" t="s">
        <v>42</v>
      </c>
      <c r="E30" s="81"/>
      <c r="F30" s="78"/>
      <c r="G30" s="105" t="str">
        <f>"(Ln "&amp;B26&amp;" + Ln "&amp;B28&amp;")"</f>
        <v>(Ln 8 + Ln 9)</v>
      </c>
      <c r="H30" s="106"/>
      <c r="I30" s="96">
        <f>+I26+I28</f>
        <v>594166884.7706234</v>
      </c>
      <c r="J30" s="107"/>
      <c r="K30" s="122">
        <f>+K26+K28</f>
        <v>928400.0841268807</v>
      </c>
      <c r="L30" s="119"/>
      <c r="M30" s="119">
        <f>+M26+M28</f>
        <v>157061838.45402175</v>
      </c>
      <c r="N30" s="104"/>
      <c r="O30" s="119">
        <f>+O26+O28</f>
        <v>8991708.043785997</v>
      </c>
      <c r="P30" s="104"/>
      <c r="Q30" s="119">
        <f>+Q26+Q28</f>
        <v>366831193.26365036</v>
      </c>
      <c r="R30" s="104"/>
      <c r="S30" s="122">
        <f>+S26+S28</f>
        <v>60353744.92503846</v>
      </c>
      <c r="T30" s="78"/>
    </row>
    <row r="31" spans="1:20" ht="20.25">
      <c r="A31" s="78"/>
      <c r="B31" s="126"/>
      <c r="C31" s="78"/>
      <c r="D31" s="78"/>
      <c r="E31" s="78"/>
      <c r="F31" s="78"/>
      <c r="G31" s="78"/>
      <c r="H31" s="78"/>
      <c r="I31" s="104"/>
      <c r="J31" s="104"/>
      <c r="K31" s="109"/>
      <c r="L31" s="104"/>
      <c r="M31" s="104"/>
      <c r="N31" s="104"/>
      <c r="O31" s="104"/>
      <c r="P31" s="104"/>
      <c r="Q31" s="104"/>
      <c r="R31" s="104"/>
      <c r="S31" s="109"/>
      <c r="T31" s="78"/>
    </row>
    <row r="32" spans="1:20" ht="20.25">
      <c r="A32" s="78"/>
      <c r="B32" s="79">
        <f>+B30+1</f>
        <v>11</v>
      </c>
      <c r="C32" s="80"/>
      <c r="D32" s="95" t="s">
        <v>51</v>
      </c>
      <c r="E32" s="81"/>
      <c r="F32" s="105"/>
      <c r="G32" s="105" t="s">
        <v>53</v>
      </c>
      <c r="H32" s="106"/>
      <c r="I32" s="104">
        <f>SUM(Q32,K32,S32,O32,M32,)</f>
        <v>31327843.205582034</v>
      </c>
      <c r="J32" s="107"/>
      <c r="K32" s="127">
        <f>'[6]WS R Interest'!$J$53</f>
        <v>-41182.85139669254</v>
      </c>
      <c r="L32" s="119"/>
      <c r="M32" s="96">
        <f>'[7]WS R Interest'!$J$53</f>
        <v>-7277112.8016137155</v>
      </c>
      <c r="N32" s="104"/>
      <c r="O32" s="96">
        <f>'[8]WS R Interest'!$J$53</f>
        <v>-1954114.5217464734</v>
      </c>
      <c r="P32" s="104"/>
      <c r="Q32" s="96">
        <f>'[9]WS R Interest'!$J$53</f>
        <v>44487754.49124759</v>
      </c>
      <c r="R32" s="104"/>
      <c r="S32" s="127">
        <f>'[10]WS R Interest'!$J$53</f>
        <v>-3887501.1109086717</v>
      </c>
      <c r="T32" s="78"/>
    </row>
    <row r="33" spans="1:20" ht="21" thickBot="1">
      <c r="A33" s="78"/>
      <c r="B33" s="126"/>
      <c r="C33" s="78"/>
      <c r="D33" s="78"/>
      <c r="E33" s="81"/>
      <c r="F33" s="105"/>
      <c r="G33" s="106"/>
      <c r="H33" s="106"/>
      <c r="I33" s="96"/>
      <c r="J33" s="107"/>
      <c r="K33" s="122"/>
      <c r="L33" s="128"/>
      <c r="M33" s="119"/>
      <c r="N33" s="104"/>
      <c r="O33" s="119"/>
      <c r="P33" s="104"/>
      <c r="Q33" s="119"/>
      <c r="R33" s="104"/>
      <c r="S33" s="122"/>
      <c r="T33" s="78"/>
    </row>
    <row r="34" spans="1:20" ht="21" thickBot="1">
      <c r="A34" s="78"/>
      <c r="B34" s="79">
        <f>B32+1</f>
        <v>12</v>
      </c>
      <c r="C34" s="80"/>
      <c r="D34" s="129" t="s">
        <v>43</v>
      </c>
      <c r="E34" s="130"/>
      <c r="F34" s="131"/>
      <c r="G34" s="132" t="str">
        <f>"(Ln "&amp;B30&amp;" + Ln "&amp;B32&amp;" )"</f>
        <v>(Ln 10 + Ln 11 )</v>
      </c>
      <c r="H34" s="133"/>
      <c r="I34" s="134">
        <f>+I30+I32</f>
        <v>625494727.9762055</v>
      </c>
      <c r="J34" s="107"/>
      <c r="K34" s="134">
        <f>+K30+K32</f>
        <v>887217.2327301882</v>
      </c>
      <c r="L34" s="135"/>
      <c r="M34" s="134">
        <f>+M30+M32</f>
        <v>149784725.65240803</v>
      </c>
      <c r="N34" s="104"/>
      <c r="O34" s="134">
        <f>+O30+O32</f>
        <v>7037593.522039523</v>
      </c>
      <c r="P34" s="104"/>
      <c r="Q34" s="134">
        <f>+Q30+Q32</f>
        <v>411318947.75489795</v>
      </c>
      <c r="R34" s="104"/>
      <c r="S34" s="134">
        <f>+S30+S32</f>
        <v>56466243.814129785</v>
      </c>
      <c r="T34" s="78"/>
    </row>
    <row r="35" spans="1:20" ht="20.25">
      <c r="A35" s="78"/>
      <c r="B35" s="79"/>
      <c r="C35" s="80"/>
      <c r="D35" s="95"/>
      <c r="E35" s="81"/>
      <c r="F35" s="78"/>
      <c r="G35" s="105"/>
      <c r="H35" s="106"/>
      <c r="I35" s="135"/>
      <c r="J35" s="106"/>
      <c r="K35" s="136"/>
      <c r="L35" s="136"/>
      <c r="M35" s="136"/>
      <c r="N35" s="136"/>
      <c r="O35" s="136"/>
      <c r="P35" s="136"/>
      <c r="Q35" s="136"/>
      <c r="R35" s="136"/>
      <c r="S35" s="136"/>
      <c r="T35" s="78"/>
    </row>
    <row r="36" spans="1:20" ht="20.25">
      <c r="A36" s="89" t="s">
        <v>12</v>
      </c>
      <c r="B36" s="94" t="s">
        <v>13</v>
      </c>
      <c r="C36" s="92"/>
      <c r="D36" s="81"/>
      <c r="E36" s="92"/>
      <c r="F36" s="81"/>
      <c r="G36" s="81"/>
      <c r="H36" s="81"/>
      <c r="I36" s="78"/>
      <c r="J36" s="81"/>
      <c r="K36" s="78"/>
      <c r="L36" s="81"/>
      <c r="M36" s="78"/>
      <c r="N36" s="78"/>
      <c r="O36" s="78"/>
      <c r="P36" s="78"/>
      <c r="Q36" s="78"/>
      <c r="R36" s="78"/>
      <c r="S36" s="78"/>
      <c r="T36" s="78"/>
    </row>
    <row r="37" spans="1:20" ht="20.25">
      <c r="A37" s="78"/>
      <c r="B37" s="79">
        <f>+B34+1</f>
        <v>13</v>
      </c>
      <c r="C37" s="80"/>
      <c r="D37" s="114" t="str">
        <f>""&amp;X1&amp;" AEP East Zone Network Service Peak Load (1 CP)"</f>
        <v>2018 AEP East Zone Network Service Peak Load (1 CP)</v>
      </c>
      <c r="E37" s="81"/>
      <c r="F37" s="105"/>
      <c r="G37" s="137"/>
      <c r="H37" s="106"/>
      <c r="I37" s="138">
        <f>'[11]Zonal Rates'!$I$40</f>
        <v>21660</v>
      </c>
      <c r="J37" s="106" t="s">
        <v>14</v>
      </c>
      <c r="K37" s="107"/>
      <c r="L37" s="106"/>
      <c r="M37" s="107"/>
      <c r="N37" s="78"/>
      <c r="O37" s="107"/>
      <c r="P37" s="78"/>
      <c r="Q37" s="107"/>
      <c r="R37" s="78"/>
      <c r="S37" s="107"/>
      <c r="T37" s="78"/>
    </row>
    <row r="38" spans="1:21" ht="20.25">
      <c r="A38" s="139"/>
      <c r="B38" s="112">
        <f>+B37+1</f>
        <v>14</v>
      </c>
      <c r="C38" s="140"/>
      <c r="D38" s="114" t="str">
        <f>"Annual Point-to-Point Rate in $/MW - Year"</f>
        <v>Annual Point-to-Point Rate in $/MW - Year</v>
      </c>
      <c r="E38" s="141"/>
      <c r="F38" s="141"/>
      <c r="G38" s="143" t="str">
        <f>"(Ln "&amp;B34&amp;" / Ln "&amp;B37&amp;")"</f>
        <v>(Ln 12 / Ln 13)</v>
      </c>
      <c r="H38" s="141"/>
      <c r="I38" s="144">
        <f>ROUND(+I34/I37,4)</f>
        <v>28877.8729</v>
      </c>
      <c r="J38" s="141"/>
      <c r="K38" s="145"/>
      <c r="L38" s="141"/>
      <c r="M38" s="141"/>
      <c r="N38" s="141"/>
      <c r="O38" s="141"/>
      <c r="P38" s="141"/>
      <c r="Q38" s="146"/>
      <c r="R38" s="141"/>
      <c r="S38" s="145"/>
      <c r="T38" s="141"/>
      <c r="U38"/>
    </row>
    <row r="39" spans="1:21" ht="20.25">
      <c r="A39" s="139"/>
      <c r="B39" s="112">
        <f aca="true" t="shared" si="0" ref="B39:B44">+B38+1</f>
        <v>15</v>
      </c>
      <c r="C39" s="140"/>
      <c r="D39" s="114" t="str">
        <f>"Monthly Point-to-Point Rate in $/MW - Month"</f>
        <v>Monthly Point-to-Point Rate in $/MW - Month</v>
      </c>
      <c r="E39" s="141"/>
      <c r="F39" s="141"/>
      <c r="G39" s="143" t="str">
        <f>"(Ln "&amp;$B$38&amp;" / 12)"</f>
        <v>(Ln 14 / 12)</v>
      </c>
      <c r="H39" s="141"/>
      <c r="I39" s="144">
        <f>ROUND(+I$38/12,4)</f>
        <v>2406.4894</v>
      </c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/>
    </row>
    <row r="40" spans="1:21" ht="20.25">
      <c r="A40" s="139"/>
      <c r="B40" s="112">
        <f t="shared" si="0"/>
        <v>16</v>
      </c>
      <c r="C40" s="140"/>
      <c r="D40" s="114" t="str">
        <f>"Weekly Point-to-Point Rate in $/MW - Weekly"</f>
        <v>Weekly Point-to-Point Rate in $/MW - Weekly</v>
      </c>
      <c r="E40" s="140"/>
      <c r="F40" s="140"/>
      <c r="G40" s="143" t="str">
        <f>"(Ln "&amp;$B$38&amp;" / 52)"</f>
        <v>(Ln 14 / 52)</v>
      </c>
      <c r="H40" s="140"/>
      <c r="I40" s="144">
        <f>ROUND(+I38/52,4)</f>
        <v>555.3437</v>
      </c>
      <c r="J40" s="140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/>
    </row>
    <row r="41" spans="1:21" ht="20.25">
      <c r="A41" s="78"/>
      <c r="B41" s="112">
        <f t="shared" si="0"/>
        <v>17</v>
      </c>
      <c r="C41" s="140"/>
      <c r="D41" s="114" t="str">
        <f>"Daily On-Peak Point-to-Point Rate in $/MW - Day"</f>
        <v>Daily On-Peak Point-to-Point Rate in $/MW - Day</v>
      </c>
      <c r="E41" s="141"/>
      <c r="F41" s="141"/>
      <c r="G41" s="143" t="str">
        <f>"(Ln "&amp;$B$38&amp;" / 260)"</f>
        <v>(Ln 14 / 260)</v>
      </c>
      <c r="H41" s="141"/>
      <c r="I41" s="144">
        <f>ROUND(+I38/260,4)</f>
        <v>111.0687</v>
      </c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/>
    </row>
    <row r="42" spans="1:21" ht="20.25">
      <c r="A42" s="78"/>
      <c r="B42" s="112">
        <f t="shared" si="0"/>
        <v>18</v>
      </c>
      <c r="C42" s="140"/>
      <c r="D42" s="114" t="str">
        <f>"Daily Off-Peak Point-to-Point Rate in $/MW - Day"</f>
        <v>Daily Off-Peak Point-to-Point Rate in $/MW - Day</v>
      </c>
      <c r="E42" s="141"/>
      <c r="F42" s="141"/>
      <c r="G42" s="143" t="str">
        <f>"(Ln "&amp;$B$38&amp;" / 365)"</f>
        <v>(Ln 14 / 365)</v>
      </c>
      <c r="H42" s="141"/>
      <c r="I42" s="144">
        <f>ROUND(+I38/365,4)</f>
        <v>79.1175</v>
      </c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/>
    </row>
    <row r="43" spans="1:21" ht="20.25">
      <c r="A43" s="78"/>
      <c r="B43" s="112">
        <f t="shared" si="0"/>
        <v>19</v>
      </c>
      <c r="C43" s="140"/>
      <c r="D43" s="114" t="str">
        <f>"Hourly On-Peak Point-to-Point Rate in $/MW - Hour"</f>
        <v>Hourly On-Peak Point-to-Point Rate in $/MW - Hour</v>
      </c>
      <c r="E43" s="141"/>
      <c r="F43" s="141"/>
      <c r="G43" s="143" t="str">
        <f>"(Ln "&amp;$B$38&amp;" / 4160)"</f>
        <v>(Ln 14 / 4160)</v>
      </c>
      <c r="H43" s="141"/>
      <c r="I43" s="144">
        <f>ROUND(+I38/4160,4)</f>
        <v>6.9418</v>
      </c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/>
    </row>
    <row r="44" spans="1:21" ht="20.25">
      <c r="A44" s="78"/>
      <c r="B44" s="112">
        <f t="shared" si="0"/>
        <v>20</v>
      </c>
      <c r="C44" s="140"/>
      <c r="D44" s="114" t="str">
        <f>"Hourly Off-Peak Point-to-Point Rate in $/MW - Hour"</f>
        <v>Hourly Off-Peak Point-to-Point Rate in $/MW - Hour</v>
      </c>
      <c r="E44" s="141"/>
      <c r="F44" s="141"/>
      <c r="G44" s="143" t="str">
        <f>"(Ln "&amp;$B$38&amp;" / 8760)"</f>
        <v>(Ln 14 / 8760)</v>
      </c>
      <c r="H44" s="141"/>
      <c r="I44" s="144">
        <f>ROUND(+I38/8760,4)</f>
        <v>3.2966</v>
      </c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/>
    </row>
    <row r="45" spans="1:21" ht="20.25">
      <c r="A45" s="78"/>
      <c r="B45" s="126"/>
      <c r="C45" s="78"/>
      <c r="D45" s="78"/>
      <c r="E45" s="78"/>
      <c r="F45" s="78"/>
      <c r="G45" s="147"/>
      <c r="H45" s="106"/>
      <c r="I45" s="78"/>
      <c r="J45" s="106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/>
    </row>
    <row r="46" spans="1:20" ht="20.25">
      <c r="A46" s="89" t="s">
        <v>15</v>
      </c>
      <c r="B46" s="94" t="s">
        <v>21</v>
      </c>
      <c r="C46" s="92"/>
      <c r="D46" s="81"/>
      <c r="E46" s="92"/>
      <c r="F46" s="81"/>
      <c r="G46" s="80"/>
      <c r="H46" s="81"/>
      <c r="I46" s="78"/>
      <c r="J46" s="81"/>
      <c r="K46" s="78"/>
      <c r="L46" s="81"/>
      <c r="M46" s="78"/>
      <c r="N46" s="78"/>
      <c r="O46" s="78"/>
      <c r="P46" s="78"/>
      <c r="Q46" s="78"/>
      <c r="R46" s="78"/>
      <c r="S46" s="78"/>
      <c r="T46" s="78"/>
    </row>
    <row r="47" spans="1:20" ht="20.25">
      <c r="A47" s="78"/>
      <c r="B47" s="148">
        <f>+B44+1</f>
        <v>21</v>
      </c>
      <c r="C47" s="141"/>
      <c r="D47" s="141" t="str">
        <f>"RTEP UPGRADE ATRR W/O INCENTIVES"</f>
        <v>RTEP UPGRADE ATRR W/O INCENTIVES</v>
      </c>
      <c r="E47" s="78"/>
      <c r="F47" s="78"/>
      <c r="G47" s="105" t="str">
        <f>"(Ln "&amp;B24&amp;")"</f>
        <v>(Ln 7)</v>
      </c>
      <c r="H47" s="141"/>
      <c r="I47" s="149">
        <f>SUM(Q47,K47,S47,O47,M47,)</f>
        <v>149965479.03987142</v>
      </c>
      <c r="J47" s="141"/>
      <c r="K47" s="150">
        <f>+K22</f>
        <v>0</v>
      </c>
      <c r="L47" s="141"/>
      <c r="M47" s="150">
        <f>+M22</f>
        <v>50140304.36567199</v>
      </c>
      <c r="N47" s="142"/>
      <c r="O47" s="150">
        <f>+O22</f>
        <v>4752952.055547775</v>
      </c>
      <c r="P47" s="142"/>
      <c r="Q47" s="150">
        <f>+Q22</f>
        <v>47757371.05300925</v>
      </c>
      <c r="R47" s="142"/>
      <c r="S47" s="150">
        <f>+S22</f>
        <v>47314851.56564242</v>
      </c>
      <c r="T47" s="78"/>
    </row>
    <row r="48" spans="1:20" ht="20.25">
      <c r="A48" s="78"/>
      <c r="B48" s="148">
        <f>+B47+1</f>
        <v>22</v>
      </c>
      <c r="C48" s="141"/>
      <c r="D48" s="78" t="s">
        <v>23</v>
      </c>
      <c r="E48" s="78"/>
      <c r="F48" s="78"/>
      <c r="G48" s="137" t="str">
        <f>"(Worksheet J)"</f>
        <v>(Worksheet J)</v>
      </c>
      <c r="H48" s="141"/>
      <c r="I48" s="149">
        <f>SUM(Q48,K48,S48,O48,M48,)</f>
        <v>0</v>
      </c>
      <c r="J48" s="141"/>
      <c r="K48" s="151">
        <v>0</v>
      </c>
      <c r="L48" s="141"/>
      <c r="M48" s="146">
        <v>0</v>
      </c>
      <c r="N48" s="142"/>
      <c r="O48" s="146">
        <v>0</v>
      </c>
      <c r="P48" s="142"/>
      <c r="Q48" s="152">
        <v>0</v>
      </c>
      <c r="R48" s="142"/>
      <c r="S48" s="146">
        <v>0</v>
      </c>
      <c r="T48" s="78"/>
    </row>
    <row r="49" spans="1:23" ht="21" thickBot="1">
      <c r="A49" s="78"/>
      <c r="B49" s="148">
        <f>+B48+1</f>
        <v>23</v>
      </c>
      <c r="C49" s="141"/>
      <c r="D49" s="78" t="s">
        <v>52</v>
      </c>
      <c r="E49" s="78"/>
      <c r="F49" s="78"/>
      <c r="G49" s="105" t="s">
        <v>53</v>
      </c>
      <c r="H49" s="141"/>
      <c r="I49" s="149">
        <f>SUM(Q49,K49,S49,O49,M49,)</f>
        <v>38448507.82562129</v>
      </c>
      <c r="J49" s="141"/>
      <c r="K49" s="152">
        <v>0</v>
      </c>
      <c r="L49" s="141"/>
      <c r="M49" s="151">
        <f>'[7]WS R Interest Schedule 12'!$J$53</f>
        <v>16406253.035529977</v>
      </c>
      <c r="N49" s="149"/>
      <c r="O49" s="151">
        <f>'[8]WS R Interest Schedule 12'!$J$53</f>
        <v>2829045.3785810783</v>
      </c>
      <c r="P49" s="149"/>
      <c r="Q49" s="151">
        <f>'[9]WS R Interest Schedule 12'!$J$53</f>
        <v>7050000.532747253</v>
      </c>
      <c r="R49" s="149"/>
      <c r="S49" s="151">
        <f>'[10]WS R Interest Schedule 12'!$J$53</f>
        <v>12163208.878762983</v>
      </c>
      <c r="T49" s="142"/>
      <c r="U49" s="34"/>
      <c r="V49" s="30"/>
      <c r="W49" s="33"/>
    </row>
    <row r="50" spans="1:20" ht="21" thickBot="1">
      <c r="A50" s="78"/>
      <c r="B50" s="148">
        <f>+B49+1</f>
        <v>24</v>
      </c>
      <c r="C50" s="141"/>
      <c r="D50" s="153" t="s">
        <v>25</v>
      </c>
      <c r="E50" s="131"/>
      <c r="F50" s="131"/>
      <c r="G50" s="154"/>
      <c r="H50" s="154"/>
      <c r="I50" s="155">
        <f>+I47+I48+I49</f>
        <v>188413986.8654927</v>
      </c>
      <c r="J50" s="141"/>
      <c r="K50" s="156">
        <f>+K47+K48+K49</f>
        <v>0</v>
      </c>
      <c r="L50" s="141"/>
      <c r="M50" s="156">
        <f>+M47+M48+M49</f>
        <v>66546557.40120197</v>
      </c>
      <c r="N50" s="142"/>
      <c r="O50" s="156">
        <f>+O47+O48+O49</f>
        <v>7581997.434128853</v>
      </c>
      <c r="P50" s="142"/>
      <c r="Q50" s="156">
        <f>+Q47+Q48+Q49</f>
        <v>54807371.5857565</v>
      </c>
      <c r="R50" s="142"/>
      <c r="S50" s="156">
        <f>+S47+S48+S49</f>
        <v>59478060.4444054</v>
      </c>
      <c r="T50" s="78"/>
    </row>
    <row r="51" spans="1:20" ht="20.25">
      <c r="A51" s="78"/>
      <c r="B51" s="157"/>
      <c r="C51" s="141"/>
      <c r="D51" s="141"/>
      <c r="E51" s="141"/>
      <c r="F51" s="141"/>
      <c r="G51" s="141"/>
      <c r="H51" s="141"/>
      <c r="I51" s="142"/>
      <c r="J51" s="141"/>
      <c r="K51" s="78"/>
      <c r="L51" s="141"/>
      <c r="M51" s="141"/>
      <c r="N51" s="142"/>
      <c r="O51" s="141"/>
      <c r="P51" s="142"/>
      <c r="Q51" s="141"/>
      <c r="R51" s="142"/>
      <c r="S51" s="141"/>
      <c r="T51" s="78"/>
    </row>
    <row r="52" spans="1:19" ht="18">
      <c r="A52" s="73"/>
      <c r="B52" s="75"/>
      <c r="C52" s="72"/>
      <c r="D52" s="72" t="s">
        <v>9</v>
      </c>
      <c r="E52" s="76" t="s">
        <v>9</v>
      </c>
      <c r="F52" s="72"/>
      <c r="G52" s="72"/>
      <c r="H52" s="72"/>
      <c r="I52" s="74"/>
      <c r="J52" s="72"/>
      <c r="K52" s="73"/>
      <c r="L52" s="72"/>
      <c r="M52" s="72"/>
      <c r="N52" s="74"/>
      <c r="O52" s="72"/>
      <c r="P52" s="74"/>
      <c r="Q52" s="72"/>
      <c r="R52" s="74"/>
      <c r="S52" s="72"/>
    </row>
    <row r="53" spans="2:19" ht="15">
      <c r="B53" s="36"/>
      <c r="C53" s="37"/>
      <c r="D53" s="37"/>
      <c r="E53" s="37"/>
      <c r="F53" s="37"/>
      <c r="G53" s="37"/>
      <c r="H53" s="37"/>
      <c r="I53" s="30"/>
      <c r="J53" s="37"/>
      <c r="K53" s="37"/>
      <c r="L53" s="37"/>
      <c r="M53" s="37"/>
      <c r="N53" s="30"/>
      <c r="O53" s="30"/>
      <c r="P53" s="30"/>
      <c r="R53" s="30"/>
      <c r="S53" s="30"/>
    </row>
    <row r="54" spans="2:19" ht="15">
      <c r="B54" s="36"/>
      <c r="C54" s="37"/>
      <c r="D54" s="37"/>
      <c r="E54" s="37"/>
      <c r="F54" s="37"/>
      <c r="G54" s="37"/>
      <c r="H54" s="37"/>
      <c r="I54" s="30"/>
      <c r="J54" s="37"/>
      <c r="K54" s="37"/>
      <c r="L54" s="37"/>
      <c r="M54" s="37"/>
      <c r="N54" s="30"/>
      <c r="O54" s="30"/>
      <c r="P54" s="30"/>
      <c r="R54" s="30"/>
      <c r="S54" s="30"/>
    </row>
    <row r="55" spans="2:19" ht="15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P55" s="30"/>
      <c r="Q55" s="30"/>
      <c r="R55" s="30"/>
      <c r="S55" s="30"/>
    </row>
    <row r="56" spans="2:19" ht="15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P56" s="30"/>
      <c r="Q56" s="30"/>
      <c r="R56" s="30"/>
      <c r="S56" s="30"/>
    </row>
    <row r="57" spans="2:19" ht="15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2:19" ht="15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P58" s="30"/>
      <c r="Q58" s="30"/>
      <c r="R58" s="30"/>
      <c r="S58" s="30"/>
    </row>
    <row r="59" spans="2:19" ht="15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5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5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5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5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5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5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5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5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3" ht="15">
      <c r="B118" s="39"/>
      <c r="C118" s="28"/>
      <c r="D118" s="28"/>
      <c r="E118" s="28"/>
      <c r="F118" s="28"/>
      <c r="G118" s="28"/>
      <c r="H118" s="28"/>
      <c r="J118" s="28"/>
      <c r="K118" s="28"/>
      <c r="L118" s="28"/>
      <c r="M118" s="28"/>
    </row>
    <row r="119" spans="2:13" ht="15">
      <c r="B119" s="39"/>
      <c r="C119" s="28"/>
      <c r="D119" s="28"/>
      <c r="E119" s="28"/>
      <c r="F119" s="28"/>
      <c r="G119" s="28"/>
      <c r="H119" s="28"/>
      <c r="J119" s="28"/>
      <c r="K119" s="28"/>
      <c r="L119" s="28"/>
      <c r="M119" s="28"/>
    </row>
    <row r="120" spans="2:13" ht="15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3" ht="15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3" ht="15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3" ht="15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3" ht="15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3" ht="15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3" ht="15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3" ht="15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3" ht="15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 ht="15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 ht="15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 ht="15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 ht="15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 ht="15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 ht="15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 ht="15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 ht="15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 ht="15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 ht="15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 ht="15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 ht="15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 ht="15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 ht="15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 ht="15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 ht="15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 ht="15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 ht="15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 ht="15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 ht="15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 ht="15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 ht="15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 ht="15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 ht="15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 ht="15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 ht="15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 ht="15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 ht="15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 ht="15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 ht="15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 ht="15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 ht="15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 ht="15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 ht="15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 ht="15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 ht="15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 ht="15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 ht="15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 ht="15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 ht="15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 ht="15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 ht="15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 ht="15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 ht="15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 ht="15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 ht="15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 ht="15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 ht="15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 ht="15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 ht="15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 ht="15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 ht="15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 ht="15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 ht="15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 ht="15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 ht="15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 ht="15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 ht="15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 ht="15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 ht="15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 ht="15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 ht="15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 ht="15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 ht="15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 ht="15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 ht="15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 ht="15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 ht="15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 ht="15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 ht="15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 ht="15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 ht="15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 ht="15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 ht="15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 ht="15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 ht="15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 ht="15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 ht="15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 ht="15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 ht="15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 ht="15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 ht="15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 ht="15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 ht="15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 ht="15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 ht="15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 ht="15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 ht="15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 ht="15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 ht="15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 ht="15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 ht="15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 ht="15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 ht="15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 ht="15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 ht="15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 ht="15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 ht="15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 ht="15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 ht="15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 ht="15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 ht="15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 ht="15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 ht="15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 ht="15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 ht="15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 ht="15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 ht="15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 ht="15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 ht="15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 ht="15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 ht="15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 ht="15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 ht="15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 ht="15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 ht="15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 ht="15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 ht="15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 ht="15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 ht="15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 ht="15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 ht="15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 ht="15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 ht="15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 ht="15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 ht="15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 ht="15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 ht="15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 ht="15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 ht="15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 ht="15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 ht="15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 ht="15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 ht="15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 ht="15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 ht="15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 ht="15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 ht="15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 ht="15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 ht="15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 ht="15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 ht="15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 ht="15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 ht="15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 ht="15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 ht="15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 ht="15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 ht="15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 ht="15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 ht="15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 ht="15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 ht="15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 ht="15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 ht="15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 ht="15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 ht="15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 ht="15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 ht="15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 ht="15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 ht="15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 ht="15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 ht="15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 ht="15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 ht="15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 ht="15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 ht="15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 ht="15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 ht="15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 ht="15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 ht="15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 ht="15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 ht="15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 ht="15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 ht="15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 ht="15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 ht="15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 ht="15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 ht="15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 ht="15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 ht="15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 ht="15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 ht="15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 ht="15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 ht="15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 ht="15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 ht="15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 ht="15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 ht="15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 ht="15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 ht="15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 ht="15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 ht="15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 ht="15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 ht="15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 ht="15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 ht="15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 ht="15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 ht="15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 ht="15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 ht="15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 ht="15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 ht="15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 ht="15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 ht="15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 ht="15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 ht="15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 ht="15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 ht="15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 ht="15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 ht="15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 ht="15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 ht="15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 ht="15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 ht="15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 ht="15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 ht="15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 ht="15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 ht="15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 ht="15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 ht="15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 ht="15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 ht="15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 ht="15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 ht="15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 ht="15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 ht="15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 ht="15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 ht="15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 ht="15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 ht="15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 ht="15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 ht="15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 ht="15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 ht="15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 ht="15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 ht="15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 ht="15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 ht="15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 ht="15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 ht="15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 ht="15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 ht="15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 ht="15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 ht="15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 ht="15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 ht="15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 ht="15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 ht="15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 ht="15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 ht="15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 ht="15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 ht="15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 ht="15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 ht="15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 ht="15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 ht="15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 ht="15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 ht="15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 ht="15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 ht="15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 ht="15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 ht="15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 ht="15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 ht="15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 ht="15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 ht="15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 ht="15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 ht="15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 ht="15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 ht="15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 ht="15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 ht="15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 ht="15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 ht="15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 ht="15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 ht="15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 ht="15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 ht="15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 ht="15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 ht="15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 ht="15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 ht="15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 ht="15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 ht="15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 ht="15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 ht="15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 ht="15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 ht="15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 ht="15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 ht="15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 ht="15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 ht="15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 ht="15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 ht="15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 ht="15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 ht="15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 ht="15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 ht="15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 ht="15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 ht="15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 ht="15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 ht="15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 ht="15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 ht="15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 ht="15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 ht="15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 ht="15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 ht="15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 ht="15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 ht="15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 ht="15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 ht="15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 ht="15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 ht="15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 ht="15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 ht="15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 ht="15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 ht="15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 ht="15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 ht="15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 ht="15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 ht="15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 ht="15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 ht="15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 ht="15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 ht="15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 ht="15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 ht="15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 ht="15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 ht="15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 ht="15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 ht="15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 ht="15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 ht="15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 ht="15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 ht="15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 ht="15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 ht="15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 ht="15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 ht="15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 ht="15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 ht="15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 ht="15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 ht="15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 ht="15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 ht="15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 ht="15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 ht="15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 ht="15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 ht="15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 ht="15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 ht="15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 ht="15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 ht="15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 ht="15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 ht="15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 ht="15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 ht="15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 ht="15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 ht="15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 ht="15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 ht="15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 ht="15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 ht="15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 ht="15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 ht="15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 ht="15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 ht="15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 ht="15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 ht="15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 ht="15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 ht="15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 ht="15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 ht="15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 ht="15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 ht="15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 ht="15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 ht="15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 ht="15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 ht="15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 ht="15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 ht="15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 ht="15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 ht="15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 ht="15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 ht="15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 ht="15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 ht="15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 ht="15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 ht="15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 ht="15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 ht="15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 ht="15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 ht="15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 ht="15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 ht="15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 ht="15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 ht="15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 ht="15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 ht="15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 ht="15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 ht="15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 ht="15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 ht="15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 ht="15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 ht="15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 ht="15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 ht="15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 ht="15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 ht="15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 ht="15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 ht="15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 ht="15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 ht="15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 ht="15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 ht="15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 ht="15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 ht="15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 ht="15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 ht="15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 ht="15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 ht="15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 ht="15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 ht="15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 ht="15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 ht="15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 ht="15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 ht="15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 ht="15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 ht="15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 ht="15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 ht="15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 ht="15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 ht="15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 ht="15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 ht="15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 ht="15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 ht="15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 ht="15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 ht="15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 ht="15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 ht="15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 ht="15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 ht="15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 ht="15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 ht="15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 ht="15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 ht="15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 ht="15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 ht="15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 ht="15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 ht="15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 ht="15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 ht="15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 ht="15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 ht="15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 ht="15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 ht="15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 ht="15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 ht="15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 ht="15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 ht="15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 ht="15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 ht="15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 ht="15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 ht="15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 ht="15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 ht="15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 ht="15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 ht="15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 ht="15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 ht="15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 ht="15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 ht="15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 ht="15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 ht="15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 ht="15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 ht="15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 ht="15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 ht="15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 ht="15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 ht="15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 ht="15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 ht="15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 ht="15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 ht="15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 ht="15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 ht="15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 ht="15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 ht="15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 ht="15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 ht="15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 ht="15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 ht="15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 ht="15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 ht="15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 ht="15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 ht="15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 ht="15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 ht="15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 ht="15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 ht="15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 ht="15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 ht="15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 ht="15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 ht="15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 ht="15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 ht="15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 ht="15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 ht="15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 ht="15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 ht="15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 ht="15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 ht="15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 ht="15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 ht="15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 ht="15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 ht="15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 ht="15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 ht="15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 ht="15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 ht="15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 ht="15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 ht="15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 ht="15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 ht="15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 ht="15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 ht="15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 ht="15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 ht="15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 ht="15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 ht="15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 ht="15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 ht="15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 ht="15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 ht="15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 ht="15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 ht="15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 ht="15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 ht="15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 ht="15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 ht="15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 ht="15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 ht="15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 ht="15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 ht="15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 ht="15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 ht="15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 ht="15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 ht="15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 ht="15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 ht="15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 ht="15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 ht="15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 ht="15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 ht="15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 ht="15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 ht="15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 ht="15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 ht="15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 ht="15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 ht="15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 ht="15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 ht="15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 ht="15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 ht="15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 ht="15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 ht="15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 ht="15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 ht="15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 ht="15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 ht="15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 ht="15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 ht="15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 ht="15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 ht="15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 ht="15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 ht="15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 ht="15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 ht="15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 ht="15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 ht="15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 ht="15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 ht="15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 ht="15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 ht="15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 ht="15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 ht="15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 ht="15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 ht="15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 ht="15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 ht="15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 ht="15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 ht="15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 ht="15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 ht="15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 ht="15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 ht="15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 ht="15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 ht="15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 ht="15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 ht="15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 ht="15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 ht="15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 ht="15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 ht="15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 ht="15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 ht="15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 ht="15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 ht="15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 ht="15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 ht="15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 ht="15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 ht="15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 ht="15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 ht="15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 ht="15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 ht="15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 ht="15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 ht="15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 ht="15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 ht="15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 ht="15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 ht="15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 ht="15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 ht="15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 ht="15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 ht="15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 ht="15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 ht="15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 ht="15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 ht="15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 ht="15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 ht="15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 ht="15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 ht="15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 ht="15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 ht="15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 ht="15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 ht="15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 ht="15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 ht="15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 ht="15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 ht="15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 ht="15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 ht="15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 ht="15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 ht="15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 ht="15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 ht="15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 ht="15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 ht="15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 ht="15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 ht="15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 ht="15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 ht="15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 ht="15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 ht="15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 ht="15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 ht="15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 ht="15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 ht="15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 ht="15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 ht="15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 ht="15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 ht="15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 ht="15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 ht="15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 ht="15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 ht="15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 ht="15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 ht="15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 ht="15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 ht="15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 ht="15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 ht="15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 ht="15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 ht="15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 ht="15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 ht="15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 ht="15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 ht="15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 ht="15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 ht="15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 ht="15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 ht="15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 ht="15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 ht="15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 ht="15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 ht="15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 ht="15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 ht="15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 ht="15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 ht="15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 ht="15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 ht="15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 ht="15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 ht="15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 ht="15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 ht="15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 ht="15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 ht="15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 ht="15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 ht="15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 ht="15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 ht="15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 ht="15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 ht="15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 ht="15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 ht="15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 ht="15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 ht="15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 ht="15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 ht="15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 ht="15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 ht="15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 ht="15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 ht="15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 ht="15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 ht="15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 ht="15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 ht="15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 ht="15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 ht="15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 ht="15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 ht="15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 ht="15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 ht="15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 ht="15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 ht="15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 ht="15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 ht="15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 ht="15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 ht="15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 ht="15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 ht="15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 ht="15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 ht="15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 ht="15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 ht="15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 ht="15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 ht="15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 ht="15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 ht="15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 ht="15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 ht="15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 ht="15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 ht="15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 ht="15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 ht="15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 ht="15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 ht="15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 ht="15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 ht="15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 ht="15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 ht="15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 ht="15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 ht="15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 ht="15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 ht="15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 ht="15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 ht="15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 ht="15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 ht="15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 ht="15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 ht="15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 ht="15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 ht="15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 ht="15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 ht="15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 ht="15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 ht="15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 ht="15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 ht="15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 ht="15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 ht="15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 ht="15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 ht="15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 ht="15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 ht="15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 ht="15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 ht="15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 ht="15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 ht="15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 ht="15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 ht="15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 ht="15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 ht="15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 ht="15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 ht="15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 ht="15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 ht="15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 ht="15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 ht="15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 ht="15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 ht="15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 ht="15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 ht="15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 ht="15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 ht="15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 ht="15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 ht="15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 ht="15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 ht="15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 ht="15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 ht="15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 ht="15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 ht="15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 ht="15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 ht="15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 ht="15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 ht="15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 ht="15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 ht="15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 ht="15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 ht="15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 ht="15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 ht="15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 ht="15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 ht="15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 ht="15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 ht="15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 ht="15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 ht="15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 ht="15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 ht="15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 ht="15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 ht="15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 ht="15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 ht="15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 ht="15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 ht="15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 ht="15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 ht="15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 ht="15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 ht="15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 ht="15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 ht="15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 ht="15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 ht="15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 ht="15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 ht="15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 ht="15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 ht="15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 ht="15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 ht="15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 ht="15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37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7"/>
  <sheetViews>
    <sheetView zoomScale="50" zoomScaleNormal="50" zoomScalePageLayoutView="0" workbookViewId="0" topLeftCell="A1">
      <selection activeCell="G34" sqref="G34"/>
    </sheetView>
  </sheetViews>
  <sheetFormatPr defaultColWidth="11.421875" defaultRowHeight="12.75"/>
  <cols>
    <col min="1" max="1" width="4.8515625" style="1" customWidth="1"/>
    <col min="2" max="2" width="5.8515625" style="20" bestFit="1" customWidth="1"/>
    <col min="3" max="3" width="2.00390625" style="1" customWidth="1"/>
    <col min="4" max="4" width="71.140625" style="1" customWidth="1"/>
    <col min="5" max="5" width="23.140625" style="1" customWidth="1"/>
    <col min="6" max="6" width="5.421875" style="1" customWidth="1"/>
    <col min="7" max="7" width="19.57421875" style="1" bestFit="1" customWidth="1"/>
    <col min="8" max="8" width="6.421875" style="1" customWidth="1"/>
    <col min="9" max="9" width="24.00390625" style="1" customWidth="1"/>
    <col min="10" max="10" width="2.7109375" style="1" customWidth="1"/>
    <col min="11" max="11" width="23.00390625" style="1" customWidth="1"/>
    <col min="12" max="12" width="2.7109375" style="1" customWidth="1"/>
    <col min="13" max="13" width="25.57421875" style="1" customWidth="1"/>
    <col min="14" max="14" width="2.7109375" style="1" customWidth="1"/>
    <col min="15" max="15" width="23.8515625" style="1" customWidth="1"/>
    <col min="16" max="16" width="2.7109375" style="1" customWidth="1"/>
    <col min="17" max="17" width="23.85156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57">
        <v>2018</v>
      </c>
    </row>
    <row r="2" spans="2:19" ht="15">
      <c r="B2" s="2"/>
      <c r="C2" s="3"/>
      <c r="D2" s="3"/>
      <c r="E2" s="3"/>
      <c r="F2" s="3"/>
      <c r="H2" s="3"/>
      <c r="I2" s="3"/>
      <c r="J2" s="3"/>
      <c r="S2" s="44"/>
    </row>
    <row r="3" spans="1:21" ht="15.75">
      <c r="A3" s="166" t="s">
        <v>46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61"/>
      <c r="U3" s="61"/>
    </row>
    <row r="4" spans="1:19" ht="18">
      <c r="A4" s="167" t="str">
        <f>"Forecasted Costs through December 31, "&amp;X1&amp;""</f>
        <v>Forecasted Costs through December 31, 2018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20" ht="15">
      <c r="A5" s="168" t="str">
        <f>"For charges effective January 1, "&amp;X1&amp;""</f>
        <v>For charges effective January 1, 2018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.75">
      <c r="A7" s="165" t="s">
        <v>45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65" t="s">
        <v>47</v>
      </c>
      <c r="H9" s="62"/>
      <c r="I9" s="63" t="s">
        <v>33</v>
      </c>
      <c r="J9" s="64"/>
      <c r="K9" s="65" t="s">
        <v>36</v>
      </c>
      <c r="L9" s="66"/>
      <c r="M9" s="65" t="s">
        <v>35</v>
      </c>
      <c r="N9" s="66"/>
      <c r="O9" s="65" t="s">
        <v>31</v>
      </c>
      <c r="P9" s="66"/>
      <c r="Q9" s="65" t="s">
        <v>34</v>
      </c>
    </row>
    <row r="10" spans="2:17" ht="15.75">
      <c r="B10" s="6" t="s">
        <v>0</v>
      </c>
      <c r="C10" s="7"/>
      <c r="D10" s="5"/>
      <c r="E10" s="5"/>
      <c r="F10" s="5"/>
      <c r="G10" s="10" t="s">
        <v>32</v>
      </c>
      <c r="H10" s="5"/>
      <c r="I10" s="11" t="s">
        <v>32</v>
      </c>
      <c r="J10" s="11"/>
      <c r="K10" s="11" t="s">
        <v>32</v>
      </c>
      <c r="M10" s="11" t="s">
        <v>32</v>
      </c>
      <c r="O10" s="11" t="s">
        <v>32</v>
      </c>
      <c r="Q10" s="11" t="s">
        <v>32</v>
      </c>
    </row>
    <row r="11" spans="2:17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2:10" ht="15">
      <c r="B12" s="14"/>
      <c r="C12" s="13"/>
      <c r="D12" s="16"/>
      <c r="E12" s="13"/>
      <c r="F12" s="5"/>
      <c r="H12" s="5"/>
      <c r="J12" s="5"/>
    </row>
    <row r="13" spans="2:10" ht="15">
      <c r="B13" s="14"/>
      <c r="C13" s="13"/>
      <c r="D13" s="5"/>
      <c r="E13" s="13"/>
      <c r="F13" s="5"/>
      <c r="H13" s="5"/>
      <c r="J13" s="5"/>
    </row>
    <row r="14" spans="1:10" ht="15.75">
      <c r="A14" s="10" t="s">
        <v>3</v>
      </c>
      <c r="B14" s="15" t="s">
        <v>22</v>
      </c>
      <c r="C14" s="13"/>
      <c r="D14" s="5"/>
      <c r="E14" s="13"/>
      <c r="F14" s="5"/>
      <c r="H14" s="5"/>
      <c r="I14" s="5"/>
      <c r="J14" s="5"/>
    </row>
    <row r="15" spans="2:18" ht="15">
      <c r="B15" s="6">
        <v>1</v>
      </c>
      <c r="C15" s="7"/>
      <c r="D15" s="26" t="s">
        <v>50</v>
      </c>
      <c r="E15" s="5"/>
      <c r="F15" s="18"/>
      <c r="G15" s="25">
        <f>SUM(I15,K15,M15,O15,Q15,,)</f>
        <v>3531773.71574747</v>
      </c>
      <c r="H15" s="49"/>
      <c r="I15" s="25">
        <f>'[6]TCOS'!$L$39</f>
        <v>1000</v>
      </c>
      <c r="J15" s="25"/>
      <c r="K15" s="51">
        <f>'[7]TCOS'!$L$39</f>
        <v>1008000</v>
      </c>
      <c r="L15" s="17"/>
      <c r="M15" s="51">
        <f>'[8]TCOS'!$L$39</f>
        <v>62000</v>
      </c>
      <c r="N15" s="17"/>
      <c r="O15" s="25">
        <f>'[9]TCOS'!$L$39</f>
        <v>1872773.71574747</v>
      </c>
      <c r="P15" s="17"/>
      <c r="Q15" s="25">
        <f>'[10]TCOS'!$L$39</f>
        <v>588000</v>
      </c>
      <c r="R15" s="17"/>
    </row>
    <row r="16" spans="2:18" ht="15">
      <c r="B16" s="6">
        <f>+B15+1</f>
        <v>2</v>
      </c>
      <c r="C16" s="7"/>
      <c r="D16" s="16" t="s">
        <v>16</v>
      </c>
      <c r="E16" s="5"/>
      <c r="F16" s="18"/>
      <c r="G16" s="25">
        <f>SUM(I16,K16,M16,O16,Q16,,)</f>
        <v>0</v>
      </c>
      <c r="H16" s="49"/>
      <c r="I16" s="25">
        <f>'[1]TCOS'!$L$40</f>
        <v>0</v>
      </c>
      <c r="J16" s="25"/>
      <c r="K16" s="51">
        <f>'[2]TCOS'!$L$40</f>
        <v>0</v>
      </c>
      <c r="L16" s="17"/>
      <c r="M16" s="51">
        <f>'[5]TCOS'!$L$40</f>
        <v>0</v>
      </c>
      <c r="N16" s="17"/>
      <c r="O16" s="25">
        <f>'[4]TCOS'!$L$40</f>
        <v>0</v>
      </c>
      <c r="P16" s="17"/>
      <c r="Q16" s="25">
        <f>'[3]TCOS'!$L$40</f>
        <v>0</v>
      </c>
      <c r="R16" s="17"/>
    </row>
    <row r="17" spans="2:18" ht="15.75" thickBot="1">
      <c r="B17" s="6">
        <f>+B16+1</f>
        <v>3</v>
      </c>
      <c r="C17" s="7"/>
      <c r="D17" s="16" t="s">
        <v>17</v>
      </c>
      <c r="E17" s="5"/>
      <c r="F17" s="18"/>
      <c r="G17" s="41">
        <f>SUM(I17,K17,M17,O17,Q17,,)</f>
        <v>0</v>
      </c>
      <c r="H17" s="49"/>
      <c r="I17" s="41">
        <f>'[1]TCOS'!$L$41</f>
        <v>0</v>
      </c>
      <c r="J17" s="25"/>
      <c r="K17" s="52">
        <f>'[2]TCOS'!$L$41</f>
        <v>0</v>
      </c>
      <c r="L17" s="17"/>
      <c r="M17" s="58">
        <f>'[5]TCOS'!$L$41</f>
        <v>0</v>
      </c>
      <c r="N17" s="17"/>
      <c r="O17" s="59">
        <f>'[4]TCOS'!$L$41</f>
        <v>0</v>
      </c>
      <c r="P17" s="17"/>
      <c r="Q17" s="59">
        <f>'[3]TCOS'!$L$41</f>
        <v>0</v>
      </c>
      <c r="R17" s="17"/>
    </row>
    <row r="18" spans="2:18" ht="15">
      <c r="B18" s="6">
        <f>+B17+1</f>
        <v>4</v>
      </c>
      <c r="C18" s="7"/>
      <c r="D18" s="16" t="s">
        <v>18</v>
      </c>
      <c r="E18" s="7" t="str">
        <f>"(Ln "&amp;B15&amp;" - Ln "&amp;B16&amp;" - Ln "&amp;B17&amp;")"</f>
        <v>(Ln 1 - Ln 2 - Ln 3)</v>
      </c>
      <c r="F18" s="18"/>
      <c r="G18" s="25">
        <f>+G15-G16-G17</f>
        <v>3531773.71574747</v>
      </c>
      <c r="H18" s="49"/>
      <c r="I18" s="25">
        <f>+I15-I16-I17</f>
        <v>1000</v>
      </c>
      <c r="J18" s="25"/>
      <c r="K18" s="51">
        <f>+K15-K16-K17</f>
        <v>1008000</v>
      </c>
      <c r="L18" s="17"/>
      <c r="M18" s="51">
        <f>+M15-M16-M17</f>
        <v>62000</v>
      </c>
      <c r="N18" s="17"/>
      <c r="O18" s="25">
        <f>+O15-O16-O17</f>
        <v>1872773.71574747</v>
      </c>
      <c r="P18" s="17"/>
      <c r="Q18" s="25">
        <f>+Q15-Q16-Q17</f>
        <v>588000</v>
      </c>
      <c r="R18" s="17"/>
    </row>
    <row r="19" spans="2:18" ht="15">
      <c r="B19" s="1"/>
      <c r="C19" s="7"/>
      <c r="D19" s="16"/>
      <c r="E19" s="7"/>
      <c r="F19" s="18"/>
      <c r="G19" s="25"/>
      <c r="H19" s="49"/>
      <c r="I19" s="25"/>
      <c r="J19" s="25"/>
      <c r="K19" s="51"/>
      <c r="L19" s="17"/>
      <c r="M19" s="51"/>
      <c r="N19" s="17"/>
      <c r="O19" s="25"/>
      <c r="P19" s="17"/>
      <c r="Q19" s="25"/>
      <c r="R19" s="17"/>
    </row>
    <row r="20" spans="2:18" ht="15">
      <c r="B20" s="6">
        <f>+B18+1</f>
        <v>5</v>
      </c>
      <c r="C20" s="7"/>
      <c r="D20" s="16" t="s">
        <v>19</v>
      </c>
      <c r="E20" s="7"/>
      <c r="F20" s="18"/>
      <c r="G20" s="25">
        <f>SUM(I20,K20,M20,O20,Q20,,)</f>
        <v>0</v>
      </c>
      <c r="H20" s="19"/>
      <c r="I20" s="50">
        <v>0</v>
      </c>
      <c r="J20" s="53"/>
      <c r="K20" s="50">
        <v>0</v>
      </c>
      <c r="L20" s="17"/>
      <c r="M20" s="50">
        <v>0</v>
      </c>
      <c r="N20" s="17"/>
      <c r="O20" s="50">
        <v>0</v>
      </c>
      <c r="P20" s="17"/>
      <c r="Q20" s="50">
        <v>0</v>
      </c>
      <c r="R20" s="17"/>
    </row>
    <row r="21" spans="2:18" ht="15">
      <c r="B21" s="6"/>
      <c r="C21" s="7"/>
      <c r="D21" s="16"/>
      <c r="E21" s="7"/>
      <c r="F21" s="18"/>
      <c r="G21" s="25"/>
      <c r="H21" s="49"/>
      <c r="I21" s="25"/>
      <c r="J21" s="25"/>
      <c r="K21" s="51"/>
      <c r="L21" s="17"/>
      <c r="M21" s="51"/>
      <c r="N21" s="17"/>
      <c r="O21" s="25"/>
      <c r="P21" s="17"/>
      <c r="Q21" s="25"/>
      <c r="R21" s="17"/>
    </row>
    <row r="22" spans="2:18" ht="15">
      <c r="B22" s="6">
        <f>+B20+1</f>
        <v>6</v>
      </c>
      <c r="C22" s="7"/>
      <c r="D22" s="16" t="s">
        <v>20</v>
      </c>
      <c r="E22" s="18" t="str">
        <f>"(Ln "&amp;B18&amp;" - Ln "&amp;B20&amp;")"</f>
        <v>(Ln 4 - Ln 5)</v>
      </c>
      <c r="F22" s="3"/>
      <c r="G22" s="25">
        <f>SUM(I22,K22,M22,O22,Q22,,)</f>
        <v>0</v>
      </c>
      <c r="H22" s="19"/>
      <c r="I22" s="46">
        <v>0</v>
      </c>
      <c r="J22" s="53"/>
      <c r="K22" s="55">
        <v>0</v>
      </c>
      <c r="L22" s="17"/>
      <c r="M22" s="55">
        <v>0</v>
      </c>
      <c r="N22" s="17"/>
      <c r="O22" s="46">
        <v>0</v>
      </c>
      <c r="P22" s="17"/>
      <c r="Q22" s="46">
        <v>0</v>
      </c>
      <c r="R22" s="17"/>
    </row>
    <row r="23" spans="7:18" ht="15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2:18" ht="15">
      <c r="B24" s="6">
        <f>+B22+1</f>
        <v>7</v>
      </c>
      <c r="C24" s="7"/>
      <c r="D24" s="16" t="str">
        <f>"BILLED HISTORICAL YEAR ("&amp;X1-1&amp;") ACTUAL ARR"</f>
        <v>BILLED HISTORICAL YEAR (2017) ACTUAL ARR</v>
      </c>
      <c r="E24" s="3"/>
      <c r="F24" s="3"/>
      <c r="G24" s="25">
        <f>SUM(I24,K24,M24,O24,Q24,,)</f>
        <v>0</v>
      </c>
      <c r="H24" s="19"/>
      <c r="I24" s="50"/>
      <c r="J24" s="53"/>
      <c r="K24" s="50"/>
      <c r="L24" s="17"/>
      <c r="M24" s="50"/>
      <c r="N24" s="17"/>
      <c r="O24" s="50"/>
      <c r="P24" s="17"/>
      <c r="Q24" s="50"/>
      <c r="R24" s="17"/>
    </row>
    <row r="25" spans="2:18" ht="15">
      <c r="B25" s="6">
        <f>+B24+1</f>
        <v>8</v>
      </c>
      <c r="C25" s="7"/>
      <c r="D25" s="16" t="str">
        <f>"BILLED PROJECTED ("&amp;X1-1&amp;") ARR FROM PRIOR YEAR"</f>
        <v>BILLED PROJECTED (2017) ARR FROM PRIOR YEAR</v>
      </c>
      <c r="E25" s="3"/>
      <c r="F25" s="3"/>
      <c r="G25" s="25">
        <f>SUM(I25,K25,M25,O25,Q25,,)</f>
        <v>0</v>
      </c>
      <c r="H25" s="19"/>
      <c r="I25" s="56"/>
      <c r="J25" s="53"/>
      <c r="K25" s="56"/>
      <c r="L25" s="17"/>
      <c r="M25" s="56"/>
      <c r="N25" s="17"/>
      <c r="O25" s="56"/>
      <c r="P25" s="17"/>
      <c r="Q25" s="56"/>
      <c r="R25" s="17"/>
    </row>
    <row r="26" spans="2:18" ht="15">
      <c r="B26" s="6">
        <f>+B25+1</f>
        <v>9</v>
      </c>
      <c r="C26" s="7"/>
      <c r="D26" s="16" t="s">
        <v>10</v>
      </c>
      <c r="E26" s="18" t="str">
        <f>"(Ln "&amp;B24&amp;" - Ln "&amp;B25&amp;")"</f>
        <v>(Ln 7 - Ln 8)</v>
      </c>
      <c r="F26" s="3"/>
      <c r="G26" s="25">
        <f>SUM(I26,K26,M26,O26,Q26,,)</f>
        <v>0</v>
      </c>
      <c r="H26" s="19"/>
      <c r="I26" s="46">
        <f>I24-I25</f>
        <v>0</v>
      </c>
      <c r="J26" s="53"/>
      <c r="K26" s="55">
        <f>K24-K25</f>
        <v>0</v>
      </c>
      <c r="L26" s="17"/>
      <c r="M26" s="55">
        <f>M24-M25</f>
        <v>0</v>
      </c>
      <c r="N26" s="17"/>
      <c r="O26" s="46">
        <f>O24-O25</f>
        <v>0</v>
      </c>
      <c r="P26" s="17"/>
      <c r="Q26" s="46">
        <f>Q24-Q25</f>
        <v>0</v>
      </c>
      <c r="R26" s="17"/>
    </row>
    <row r="27" spans="5:18" ht="15">
      <c r="E27" s="3"/>
      <c r="F27" s="3"/>
      <c r="G27" s="46"/>
      <c r="H27" s="19"/>
      <c r="I27" s="53"/>
      <c r="J27" s="53"/>
      <c r="K27" s="54"/>
      <c r="L27" s="17"/>
      <c r="M27" s="54"/>
      <c r="N27" s="17"/>
      <c r="O27" s="53"/>
      <c r="P27" s="17"/>
      <c r="Q27" s="53"/>
      <c r="R27" s="17"/>
    </row>
    <row r="28" spans="2:18" ht="15">
      <c r="B28" s="6">
        <f>+B26+1</f>
        <v>10</v>
      </c>
      <c r="C28" s="7"/>
      <c r="D28" s="16" t="s">
        <v>11</v>
      </c>
      <c r="E28" s="3"/>
      <c r="F28" s="25"/>
      <c r="G28" s="25">
        <f>SUM(I28,K28,M28,O28,Q28,,)</f>
        <v>0</v>
      </c>
      <c r="H28" s="19"/>
      <c r="I28" s="53">
        <v>0</v>
      </c>
      <c r="J28" s="53"/>
      <c r="K28" s="54">
        <v>0</v>
      </c>
      <c r="L28" s="17"/>
      <c r="M28" s="54">
        <v>0</v>
      </c>
      <c r="N28" s="17"/>
      <c r="O28" s="53">
        <v>0</v>
      </c>
      <c r="P28" s="17"/>
      <c r="Q28" s="53">
        <v>0</v>
      </c>
      <c r="R28" s="17"/>
    </row>
    <row r="29" spans="2:18" ht="15.75" thickBot="1">
      <c r="B29" s="6"/>
      <c r="C29" s="7"/>
      <c r="D29" s="16"/>
      <c r="E29" s="5"/>
      <c r="F29" s="18"/>
      <c r="G29" s="17"/>
      <c r="H29" s="49"/>
      <c r="I29" s="25"/>
      <c r="J29" s="25"/>
      <c r="K29" s="51"/>
      <c r="L29" s="17"/>
      <c r="M29" s="51"/>
      <c r="N29" s="17"/>
      <c r="O29" s="25"/>
      <c r="P29" s="17"/>
      <c r="Q29" s="25"/>
      <c r="R29" s="17"/>
    </row>
    <row r="30" spans="2:18" ht="15.75" thickBot="1">
      <c r="B30" s="6">
        <f>+B28+1</f>
        <v>11</v>
      </c>
      <c r="C30" s="7"/>
      <c r="D30" s="42" t="s">
        <v>24</v>
      </c>
      <c r="E30" s="21"/>
      <c r="F30" s="22"/>
      <c r="G30" s="43">
        <f>SUM(I30,K30,M30,O30,Q30,,)</f>
        <v>0</v>
      </c>
      <c r="H30" s="49"/>
      <c r="I30" s="23">
        <f>+I22+I26+I28</f>
        <v>0</v>
      </c>
      <c r="J30" s="25"/>
      <c r="K30" s="48">
        <f>+K22+K26+K28</f>
        <v>0</v>
      </c>
      <c r="L30" s="17"/>
      <c r="M30" s="48">
        <f>+M22+M26+M28</f>
        <v>0</v>
      </c>
      <c r="N30" s="17"/>
      <c r="O30" s="23">
        <f>+O22+O26+O28</f>
        <v>0</v>
      </c>
      <c r="P30" s="17"/>
      <c r="Q30" s="23">
        <f>+Q22+Q26+Q28</f>
        <v>0</v>
      </c>
      <c r="R30" s="17"/>
    </row>
    <row r="31" spans="2:17" ht="15">
      <c r="B31" s="6"/>
      <c r="C31" s="7"/>
      <c r="D31" s="16"/>
      <c r="E31" s="5"/>
      <c r="F31" s="18"/>
      <c r="G31" s="25"/>
      <c r="H31" s="40"/>
      <c r="I31" s="25"/>
      <c r="J31" s="24"/>
      <c r="K31" s="25"/>
      <c r="M31" s="25"/>
      <c r="O31" s="25"/>
      <c r="Q31" s="25"/>
    </row>
    <row r="32" spans="1:10" ht="15.75">
      <c r="A32" s="10" t="s">
        <v>12</v>
      </c>
      <c r="B32" s="15" t="s">
        <v>26</v>
      </c>
      <c r="C32" s="13"/>
      <c r="D32" s="5"/>
      <c r="E32" s="13"/>
      <c r="F32" s="5"/>
      <c r="H32" s="5"/>
      <c r="I32" s="5"/>
      <c r="J32" s="5"/>
    </row>
    <row r="33" spans="2:11" ht="15">
      <c r="B33" s="6">
        <f>+B30+1</f>
        <v>12</v>
      </c>
      <c r="C33" s="7"/>
      <c r="D33" s="26" t="str">
        <f>""&amp;X1&amp;" AEP East Zone Annual MWh"</f>
        <v>2018 AEP East Zone Annual MWh</v>
      </c>
      <c r="E33" s="7"/>
      <c r="F33" s="18"/>
      <c r="G33" s="69">
        <f>'[11]Sch 1 Rates'!$G$33</f>
        <v>135611000</v>
      </c>
      <c r="H33" s="5"/>
      <c r="I33" s="70"/>
      <c r="J33" s="3"/>
      <c r="K33" s="19"/>
    </row>
    <row r="34" spans="2:11" ht="15">
      <c r="B34" s="6"/>
      <c r="C34" s="7"/>
      <c r="D34" s="68" t="s">
        <v>48</v>
      </c>
      <c r="E34" s="5"/>
      <c r="F34" s="18"/>
      <c r="G34" s="27"/>
      <c r="H34" s="5"/>
      <c r="I34" s="19"/>
      <c r="J34" s="3"/>
      <c r="K34" s="19"/>
    </row>
    <row r="35" spans="1:11" ht="15">
      <c r="A35" s="28"/>
      <c r="B35" s="31">
        <f>+B33+1</f>
        <v>13</v>
      </c>
      <c r="C35" s="29"/>
      <c r="D35" s="26" t="s">
        <v>27</v>
      </c>
      <c r="E35" s="32" t="str">
        <f>"(Line "&amp;B30&amp;" / Line "&amp;B33&amp;")"</f>
        <v>(Line 11 / Line 12)</v>
      </c>
      <c r="F35" s="32"/>
      <c r="G35" s="45">
        <f>+G30/G33</f>
        <v>0</v>
      </c>
      <c r="H35" s="32"/>
      <c r="I35" s="19"/>
      <c r="J35" s="3"/>
      <c r="K35" s="19"/>
    </row>
    <row r="36" spans="1:11" ht="15">
      <c r="A36" s="28"/>
      <c r="B36" s="31"/>
      <c r="C36" s="29"/>
      <c r="D36" s="26"/>
      <c r="E36" s="32"/>
      <c r="F36" s="32"/>
      <c r="H36" s="32"/>
      <c r="I36" s="19"/>
      <c r="J36" s="3"/>
      <c r="K36" s="19"/>
    </row>
    <row r="37" spans="1:11" ht="15">
      <c r="A37" s="28"/>
      <c r="B37" s="31"/>
      <c r="C37" s="29"/>
      <c r="D37" s="26"/>
      <c r="E37" s="32"/>
      <c r="F37" s="29"/>
      <c r="H37" s="32"/>
      <c r="I37" s="19"/>
      <c r="J37" s="3"/>
      <c r="K37" s="19"/>
    </row>
    <row r="38" spans="2:19" ht="15">
      <c r="B38" s="31"/>
      <c r="C38" s="29"/>
      <c r="D38" s="26"/>
      <c r="E38" s="32"/>
      <c r="F38" s="32"/>
      <c r="H38" s="32"/>
      <c r="I38" s="19"/>
      <c r="J38" s="3"/>
      <c r="K38" s="19"/>
      <c r="L38" s="30"/>
      <c r="M38" s="30"/>
      <c r="N38" s="30"/>
      <c r="O38" s="30"/>
      <c r="P38" s="30"/>
      <c r="Q38" s="30"/>
      <c r="R38" s="30"/>
      <c r="S38" s="30"/>
    </row>
    <row r="39" spans="2:19" ht="15">
      <c r="B39" s="31"/>
      <c r="C39" s="29"/>
      <c r="D39" s="26"/>
      <c r="E39" s="32"/>
      <c r="F39" s="32"/>
      <c r="H39" s="32"/>
      <c r="I39" s="19"/>
      <c r="J39" s="3"/>
      <c r="K39" s="19"/>
      <c r="L39" s="30"/>
      <c r="M39" s="30"/>
      <c r="N39" s="30"/>
      <c r="O39" s="30"/>
      <c r="P39" s="30"/>
      <c r="Q39" s="30"/>
      <c r="R39" s="30"/>
      <c r="S39" s="30"/>
    </row>
    <row r="40" spans="2:19" ht="15">
      <c r="B40" s="35"/>
      <c r="C40" s="32"/>
      <c r="D40" s="32"/>
      <c r="E40" s="32"/>
      <c r="F40" s="32"/>
      <c r="G40" s="30"/>
      <c r="H40" s="32"/>
      <c r="I40" s="32"/>
      <c r="J40" s="32"/>
      <c r="K40" s="32"/>
      <c r="L40" s="30"/>
      <c r="M40" s="30"/>
      <c r="N40" s="30"/>
      <c r="O40" s="30"/>
      <c r="P40" s="30"/>
      <c r="Q40" s="30"/>
      <c r="R40" s="30"/>
      <c r="S40" s="30"/>
    </row>
    <row r="41" spans="2:19" ht="15">
      <c r="B41" s="35"/>
      <c r="C41" s="32"/>
      <c r="D41" s="32"/>
      <c r="E41" s="32"/>
      <c r="F41" s="32"/>
      <c r="G41" s="30"/>
      <c r="H41" s="32"/>
      <c r="I41" s="32"/>
      <c r="J41" s="32"/>
      <c r="K41" s="32"/>
      <c r="L41" s="30"/>
      <c r="M41" s="30"/>
      <c r="N41" s="30"/>
      <c r="O41" s="30"/>
      <c r="P41" s="30"/>
      <c r="Q41" s="30"/>
      <c r="R41" s="30"/>
      <c r="S41" s="30"/>
    </row>
    <row r="42" spans="2:19" ht="15">
      <c r="B42" s="35"/>
      <c r="C42" s="32"/>
      <c r="D42" s="32"/>
      <c r="E42" s="32"/>
      <c r="F42" s="32"/>
      <c r="G42" s="30"/>
      <c r="H42" s="32"/>
      <c r="I42" s="32"/>
      <c r="J42" s="32"/>
      <c r="K42" s="32"/>
      <c r="L42" s="30"/>
      <c r="M42" s="30"/>
      <c r="N42" s="30"/>
      <c r="O42" s="30"/>
      <c r="P42" s="30"/>
      <c r="Q42" s="30"/>
      <c r="R42" s="30"/>
      <c r="S42" s="30"/>
    </row>
    <row r="43" spans="2:19" ht="15">
      <c r="B43" s="36"/>
      <c r="C43" s="3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30"/>
    </row>
    <row r="44" spans="2:19" ht="15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2:19" ht="15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2:19" ht="15">
      <c r="B46" s="36"/>
      <c r="C46" s="3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2:19" ht="15">
      <c r="B47" s="36"/>
      <c r="C47" s="3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2:19" ht="15">
      <c r="B48" s="36"/>
      <c r="C48" s="3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 ht="15">
      <c r="B49" s="36"/>
      <c r="C49" s="3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 ht="15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 ht="15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 ht="15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 ht="15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 ht="15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 ht="15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 ht="15">
      <c r="B56" s="38"/>
      <c r="C56" s="3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30"/>
    </row>
    <row r="57" spans="2:19" ht="15">
      <c r="B57" s="38"/>
      <c r="C57" s="30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30"/>
    </row>
    <row r="58" spans="2:19" ht="15">
      <c r="B58" s="38"/>
      <c r="C58" s="30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30"/>
    </row>
    <row r="59" spans="2:19" ht="15">
      <c r="B59" s="38"/>
      <c r="C59" s="30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1" ht="15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1" ht="15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1" ht="15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 ht="15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 ht="15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 ht="15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 ht="15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 ht="15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 ht="15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 ht="15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 ht="15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 ht="15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 ht="15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 ht="15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 ht="15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 ht="15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 ht="15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 ht="15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 ht="15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 ht="15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 ht="15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 ht="15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 ht="15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 ht="15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 ht="15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 ht="15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 ht="15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 ht="15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 ht="15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 ht="15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 ht="15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 ht="15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 ht="15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 ht="15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 ht="15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 ht="15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 ht="15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 ht="15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 ht="15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 ht="15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 ht="15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 ht="15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 ht="15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 ht="15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 ht="15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 ht="15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 ht="15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 ht="15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 ht="15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 ht="15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 ht="15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 ht="15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 ht="15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 ht="15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 ht="15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 ht="15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 ht="15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 ht="15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 ht="15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 ht="15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 ht="15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 ht="15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 ht="15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 ht="15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 ht="15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 ht="15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 ht="15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 ht="15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 ht="15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 ht="15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 ht="15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 ht="15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 ht="15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 ht="15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 ht="15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 ht="15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 ht="15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 ht="15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 ht="15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 ht="15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 ht="15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 ht="15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 ht="15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 ht="15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 ht="15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 ht="15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 ht="15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 ht="15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 ht="15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 ht="15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 ht="15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 ht="15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 ht="15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 ht="15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 ht="15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 ht="15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 ht="15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 ht="15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 ht="15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 ht="15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 ht="15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 ht="15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 ht="15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 ht="15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 ht="15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 ht="15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 ht="15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 ht="15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 ht="15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 ht="15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 ht="15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 ht="15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 ht="15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 ht="15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 ht="15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 ht="15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 ht="15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 ht="15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 ht="15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 ht="15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 ht="15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 ht="15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 ht="15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 ht="15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 ht="15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 ht="15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 ht="15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 ht="15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 ht="15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 ht="15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 ht="15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 ht="15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 ht="15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 ht="15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 ht="15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 ht="15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 ht="15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 ht="15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 ht="15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 ht="15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 ht="15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 ht="15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 ht="15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 ht="15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 ht="15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 ht="15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 ht="15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 ht="15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 ht="15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 ht="15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 ht="15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 ht="15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 ht="15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 ht="15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 ht="15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 ht="15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 ht="15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 ht="15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 ht="15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 ht="15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 ht="15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 ht="15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 ht="15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 ht="15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 ht="15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 ht="15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 ht="15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 ht="15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 ht="15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 ht="15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 ht="15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 ht="15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 ht="15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 ht="15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 ht="15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 ht="15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 ht="15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 ht="15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 ht="15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 ht="15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 ht="15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 ht="15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 ht="15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 ht="15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 ht="15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 ht="15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 ht="15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 ht="15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 ht="15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 ht="15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 ht="15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 ht="15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 ht="15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 ht="15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 ht="15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 ht="15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 ht="15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 ht="15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 ht="15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 ht="15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 ht="15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 ht="15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 ht="15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 ht="15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 ht="15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 ht="15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 ht="15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 ht="15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 ht="15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 ht="15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 ht="15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 ht="15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 ht="15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 ht="15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 ht="15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 ht="15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 ht="15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 ht="15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 ht="15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 ht="15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 ht="15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 ht="15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 ht="15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 ht="15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 ht="15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 ht="15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 ht="15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 ht="15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 ht="15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 ht="15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 ht="15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 ht="15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 ht="15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 ht="15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 ht="15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 ht="15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 ht="15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 ht="15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 ht="15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 ht="15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 ht="15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 ht="15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 ht="15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 ht="15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 ht="15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 ht="15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 ht="15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 ht="15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 ht="15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 ht="15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 ht="15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 ht="15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 ht="15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 ht="15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 ht="15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 ht="15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 ht="15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 ht="15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 ht="15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 ht="15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 ht="15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 ht="15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 ht="15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 ht="15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 ht="15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 ht="15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 ht="15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 ht="15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 ht="15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 ht="15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 ht="15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 ht="15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 ht="15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 ht="15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 ht="15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 ht="15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 ht="15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 ht="15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 ht="15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 ht="15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 ht="15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 ht="15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 ht="15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 ht="15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 ht="15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 ht="15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 ht="15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 ht="15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 ht="15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 ht="15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 ht="15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 ht="15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 ht="15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 ht="15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 ht="15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 ht="15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 ht="15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 ht="15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 ht="15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 ht="15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 ht="15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 ht="15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 ht="15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 ht="15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 ht="15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 ht="15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 ht="15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 ht="15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 ht="15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 ht="15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 ht="15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 ht="15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 ht="15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 ht="15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 ht="15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 ht="15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 ht="15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 ht="15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 ht="15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 ht="15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 ht="15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 ht="15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 ht="15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 ht="15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 ht="15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 ht="15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 ht="15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 ht="15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 ht="15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 ht="15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 ht="15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 ht="15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 ht="15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 ht="15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 ht="15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 ht="15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 ht="15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 ht="15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 ht="15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 ht="15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 ht="15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 ht="15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 ht="15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 ht="15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 ht="15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 ht="15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 ht="15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 ht="15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 ht="15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 ht="15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 ht="15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 ht="15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 ht="15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 ht="15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 ht="15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 ht="15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 ht="15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 ht="15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 ht="15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 ht="15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 ht="15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 ht="15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 ht="15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 ht="15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 ht="15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 ht="15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 ht="15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 ht="15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 ht="15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 ht="15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 ht="15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 ht="15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 ht="15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 ht="15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 ht="15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 ht="15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 ht="15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 ht="15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 ht="15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 ht="15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 ht="15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 ht="15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 ht="15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 ht="15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 ht="15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 ht="15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 ht="15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 ht="15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 ht="15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 ht="15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 ht="15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 ht="15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 ht="15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 ht="15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 ht="15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 ht="15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 ht="15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 ht="15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 ht="15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 ht="15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 ht="15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 ht="15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 ht="15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 ht="15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 ht="15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 ht="15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 ht="15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 ht="15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 ht="15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 ht="15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 ht="15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 ht="15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 ht="15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 ht="15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 ht="15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 ht="15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 ht="15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 ht="15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 ht="15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 ht="15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 ht="15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 ht="15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 ht="15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 ht="15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 ht="15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 ht="15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 ht="15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 ht="15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 ht="15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 ht="15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 ht="15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 ht="15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 ht="15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 ht="15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 ht="15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 ht="15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 ht="15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 ht="15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 ht="15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 ht="15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 ht="15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 ht="15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 ht="15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 ht="15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 ht="15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 ht="15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 ht="15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 ht="15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 ht="15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 ht="15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 ht="15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 ht="15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 ht="15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 ht="15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 ht="15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 ht="15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 ht="15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 ht="15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 ht="15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 ht="15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 ht="15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 ht="15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 ht="15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 ht="15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 ht="15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 ht="15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 ht="15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 ht="15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 ht="15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 ht="15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 ht="15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 ht="15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 ht="15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 ht="15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 ht="15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 ht="15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 ht="15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 ht="15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 ht="15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 ht="15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 ht="15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 ht="15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 ht="15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 ht="15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 ht="15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 ht="15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 ht="15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 ht="15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 ht="15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 ht="15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 ht="15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 ht="15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 ht="15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 ht="15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 ht="15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 ht="15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 ht="15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 ht="15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 ht="15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 ht="15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 ht="15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 ht="15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 ht="15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 ht="15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 ht="15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 ht="15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 ht="15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 ht="15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 ht="15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 ht="15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 ht="15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 ht="15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 ht="15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 ht="15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 ht="15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 ht="15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 ht="15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 ht="15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 ht="15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 ht="15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 ht="15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 ht="15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 ht="15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 ht="15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 ht="15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 ht="15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 ht="15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 ht="15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 ht="15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 ht="15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 ht="15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 ht="15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 ht="15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 ht="15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 ht="15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 ht="15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 ht="15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 ht="15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 ht="15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 ht="15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 ht="15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 ht="15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 ht="15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 ht="15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 ht="15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 ht="15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 ht="15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 ht="15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 ht="15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 ht="15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 ht="15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 ht="15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 ht="15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 ht="15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 ht="15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 ht="15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 ht="15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 ht="15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 ht="15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 ht="15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 ht="15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 ht="15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 ht="15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 ht="15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 ht="15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 ht="15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 ht="15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 ht="15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 ht="15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 ht="15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 ht="15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 ht="15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 ht="15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 ht="15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 ht="15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 ht="15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 ht="15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 ht="15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 ht="15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 ht="15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 ht="15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 ht="15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 ht="15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 ht="15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 ht="15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 ht="15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 ht="15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 ht="15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 ht="15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 ht="15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 ht="15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 ht="15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 ht="15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 ht="15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 ht="15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 ht="15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 ht="15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 ht="15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 ht="15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 ht="15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 ht="15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 ht="15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 ht="15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 ht="15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 ht="15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 ht="15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 ht="15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 ht="15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 ht="15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 ht="15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 ht="15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 ht="15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 ht="15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 ht="15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 ht="15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 ht="15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 ht="15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 ht="15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 ht="15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 ht="15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 ht="15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 ht="15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 ht="15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 ht="15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 ht="15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 ht="15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 ht="15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 ht="15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 ht="15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 ht="15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 ht="15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 ht="15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 ht="15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 ht="15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 ht="15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 ht="15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 ht="15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 ht="15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 ht="15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 ht="15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 ht="15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 ht="15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 ht="15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 ht="15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 ht="15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 ht="15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 ht="15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 ht="15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 ht="15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 ht="15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 ht="15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 ht="15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 ht="15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 ht="15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 ht="15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 ht="15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 ht="15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 ht="15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 ht="15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 ht="15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 ht="15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 ht="15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 ht="15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 ht="15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 ht="15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 ht="15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 ht="15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 ht="15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 ht="15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 ht="15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 ht="15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 ht="15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 ht="15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 ht="15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 ht="15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 ht="15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 ht="15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 ht="15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 ht="15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 ht="15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 ht="15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 ht="15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 ht="15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 ht="15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 ht="15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 ht="15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 ht="15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 ht="15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 ht="15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 ht="15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 ht="15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 ht="15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 ht="15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 ht="15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 ht="15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 ht="15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 ht="15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 ht="15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 ht="15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 ht="15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 ht="15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 ht="15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 ht="15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 ht="15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 ht="15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 ht="15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 ht="15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 ht="15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 ht="15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 ht="15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 ht="15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 ht="15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 ht="15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 ht="15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 ht="15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 ht="15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 ht="15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 ht="15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 ht="15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 ht="15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 ht="15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 ht="15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 ht="15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 ht="15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 ht="15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 ht="15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 ht="15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 ht="15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 ht="15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 ht="15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 ht="15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 ht="15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 ht="15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 ht="15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 ht="15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 ht="15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 ht="15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 ht="15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 ht="15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 ht="15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 ht="15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 ht="15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 ht="15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 ht="15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 ht="15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 ht="15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 ht="15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 ht="15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 ht="15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 ht="15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 ht="15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 ht="15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 ht="15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 ht="15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 ht="15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 ht="15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 ht="15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 ht="15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 ht="15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 ht="15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 ht="15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 ht="15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 ht="15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 ht="15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 ht="15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 ht="15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 ht="15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 ht="15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 ht="15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 ht="15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 ht="15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 ht="15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 ht="15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 ht="15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 ht="15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 ht="15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 ht="15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 ht="15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 ht="15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 ht="15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 ht="15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 ht="15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 ht="15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 ht="15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 ht="15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 ht="15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 ht="15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 ht="15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 ht="15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 ht="15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 ht="15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 ht="15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 ht="15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 ht="15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 ht="15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 ht="15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 ht="15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 ht="15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 ht="15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 ht="15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 ht="15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 ht="15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 ht="15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 ht="15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 ht="15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 ht="15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 ht="15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 ht="15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 ht="15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 ht="15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 ht="15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 ht="15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 ht="15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 ht="15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 ht="15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 ht="15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 ht="15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 ht="15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 ht="15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 ht="15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 ht="15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 ht="15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 ht="15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 ht="15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 ht="15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 ht="15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 ht="15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 ht="15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 ht="15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 ht="15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 ht="15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 ht="15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 ht="15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 ht="15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 ht="15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 ht="15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 ht="15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 ht="15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 ht="15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 ht="15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 ht="15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 ht="15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 ht="15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 ht="15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 ht="15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 ht="15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 ht="15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 ht="15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 ht="15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 ht="15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 ht="15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 ht="15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 ht="15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 ht="15">
      <c r="B963" s="39"/>
      <c r="C963" s="28"/>
      <c r="D963" s="28"/>
      <c r="E963" s="28"/>
      <c r="F963" s="28"/>
      <c r="H963" s="28"/>
      <c r="I963" s="28"/>
      <c r="J963" s="28"/>
      <c r="K963" s="28"/>
    </row>
    <row r="964" spans="2:11" ht="15">
      <c r="B964" s="39"/>
      <c r="C964" s="28"/>
      <c r="D964" s="28"/>
      <c r="E964" s="28"/>
      <c r="F964" s="28"/>
      <c r="H964" s="28"/>
      <c r="I964" s="28"/>
      <c r="J964" s="28"/>
      <c r="K964" s="28"/>
    </row>
    <row r="965" spans="2:11" ht="15">
      <c r="B965" s="39"/>
      <c r="C965" s="28"/>
      <c r="D965" s="28"/>
      <c r="E965" s="28"/>
      <c r="F965" s="28"/>
      <c r="H965" s="28"/>
      <c r="I965" s="28"/>
      <c r="J965" s="28"/>
      <c r="K965" s="28"/>
    </row>
    <row r="966" spans="2:11" ht="15">
      <c r="B966" s="39"/>
      <c r="C966" s="28"/>
      <c r="D966" s="28"/>
      <c r="E966" s="28"/>
      <c r="F966" s="28"/>
      <c r="H966" s="28"/>
      <c r="I966" s="28"/>
      <c r="J966" s="28"/>
      <c r="K966" s="28"/>
    </row>
    <row r="967" spans="2:11" ht="15">
      <c r="B967" s="39"/>
      <c r="C967" s="28"/>
      <c r="D967" s="28"/>
      <c r="E967" s="28"/>
      <c r="F967" s="28"/>
      <c r="H967" s="28"/>
      <c r="I967" s="28"/>
      <c r="J967" s="28"/>
      <c r="K967" s="28"/>
    </row>
  </sheetData>
  <sheetProtection/>
  <mergeCells count="4">
    <mergeCell ref="A7:R7"/>
    <mergeCell ref="A3:S3"/>
    <mergeCell ref="A4:S4"/>
    <mergeCell ref="A5:R5"/>
  </mergeCells>
  <printOptions horizontalCentered="1"/>
  <pageMargins left="0.2" right="0.23" top="1.75" bottom="0.25" header="1.25" footer="0.25"/>
  <pageSetup fitToHeight="1" fitToWidth="1" horizontalDpi="600" verticalDpi="600" orientation="landscape" scale="49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Diane M Keegan</cp:lastModifiedBy>
  <cp:lastPrinted>2017-10-29T18:33:23Z</cp:lastPrinted>
  <dcterms:created xsi:type="dcterms:W3CDTF">2008-07-20T22:34:28Z</dcterms:created>
  <dcterms:modified xsi:type="dcterms:W3CDTF">2017-10-29T18:33:48Z</dcterms:modified>
  <cp:category/>
  <cp:version/>
  <cp:contentType/>
  <cp:contentStatus/>
</cp:coreProperties>
</file>